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5.png" ContentType="image/png"/>
  <Override PartName="/xl/media/image3.jpeg" ContentType="image/jpeg"/>
  <Override PartName="/xl/media/image4.png" ContentType="image/png"/>
  <Override PartName="/xl/media/image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INFO" sheetId="1" state="visible" r:id="rId2"/>
    <sheet name="saisie" sheetId="2" state="visible" r:id="rId3"/>
    <sheet name="M Q" sheetId="3" state="visible" r:id="rId4"/>
    <sheet name="Clb Q (2)" sheetId="4" state="hidden" r:id="rId5"/>
    <sheet name="Clb Q" sheetId="5" state="visible" r:id="rId6"/>
    <sheet name="P.F." sheetId="6" state="visible" r:id="rId7"/>
    <sheet name="PALMARES" sheetId="7" state="visible" r:id="rId8"/>
  </sheets>
  <definedNames>
    <definedName function="false" hidden="false" localSheetId="4" name="_xlnm.Print_Area" vbProcedure="false">'Clb Q'!$B$1:$L$32</definedName>
    <definedName function="false" hidden="false" localSheetId="3" name="_xlnm.Print_Area" vbProcedure="false">'Clb Q (2)'!$B$1:$N$31</definedName>
    <definedName function="false" hidden="false" localSheetId="0" name="_xlnm.Print_Area" vbProcedure="false">INFO!$A$1:$C$19</definedName>
    <definedName function="false" hidden="false" localSheetId="2" name="_xlnm.Print_Area" vbProcedure="false">'M Q'!$A$1:$AI$26</definedName>
    <definedName function="false" hidden="false" localSheetId="5" name="_xlnm.Print_Area" vbProcedure="false">'P.F.'!$B$1:$U$78</definedName>
    <definedName function="false" hidden="false" localSheetId="6" name="_xlnm.Print_Area" vbProcedure="false">PALMARES!$A$1:$H$27</definedName>
    <definedName function="false" hidden="false" localSheetId="1" name="_xlnm.Print_Area" vbProcedure="false">saisie!$A$3:$AJ$27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<sst xmlns="http://schemas.openxmlformats.org/spreadsheetml/2006/main" count="249" uniqueCount="123">
  <si>
    <t xml:space="preserve">PROGRAMME DE GESTION 
CHAMPIONNAT DE FRANCE DES CLUBS
10 METRES</t>
  </si>
  <si>
    <t xml:space="preserve">COMPETITION</t>
  </si>
  <si>
    <t xml:space="preserve">date :</t>
  </si>
  <si>
    <t xml:space="preserve">lieu :</t>
  </si>
  <si>
    <t xml:space="preserve">PLOMBIERES LES BAINS</t>
  </si>
  <si>
    <t xml:space="preserve">saison :</t>
  </si>
  <si>
    <t xml:space="preserve">2019-2020</t>
  </si>
  <si>
    <t xml:space="preserve">Discipline :</t>
  </si>
  <si>
    <t xml:space="preserve">PISTOLET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</si>
  <si>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</si>
  <si>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</si>
  <si>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</si>
  <si>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</si>
  <si>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</si>
  <si>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</si>
  <si>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</si>
  <si>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SANDRINE BRION-BOGARD</t>
  </si>
  <si>
    <t xml:space="preserve">téléphone :</t>
  </si>
  <si>
    <t xml:space="preserve">06.71.45.09.42</t>
  </si>
  <si>
    <t xml:space="preserve">adresse électronique :</t>
  </si>
  <si>
    <t xml:space="preserve">sbbaudio@gmail.com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</si>
  <si>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</si>
  <si>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</si>
  <si>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</si>
  <si>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</si>
  <si>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</si>
  <si>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Cl.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</si>
  <si>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</si>
  <si>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</si>
  <si>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</si>
  <si>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</si>
  <si>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</si>
  <si>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</si>
  <si>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TT</t>
  </si>
  <si>
    <t xml:space="preserve">Bar.</t>
  </si>
  <si>
    <t xml:space="preserve">TOTAL</t>
  </si>
  <si>
    <t xml:space="preserve">1er Tireur</t>
  </si>
  <si>
    <t xml:space="preserve">2ème Tireur</t>
  </si>
  <si>
    <t xml:space="preserve">3ème Tireur</t>
  </si>
  <si>
    <t xml:space="preserve">4ème Tireur</t>
  </si>
  <si>
    <t xml:space="preserve">5ème Tireur</t>
  </si>
  <si>
    <t xml:space="preserve">REMIREMONT</t>
  </si>
  <si>
    <t xml:space="preserve">DEMANGE ISABELLE</t>
  </si>
  <si>
    <t xml:space="preserve">DELANGLE CYRILLE</t>
  </si>
  <si>
    <t xml:space="preserve">COLIN CYRIL</t>
  </si>
  <si>
    <t xml:space="preserve">BERTRAND GEO</t>
  </si>
  <si>
    <t xml:space="preserve">MILLOTTE ROMAIN</t>
  </si>
  <si>
    <t xml:space="preserve">VINCEY</t>
  </si>
  <si>
    <t xml:space="preserve">BERBAGUI LINE</t>
  </si>
  <si>
    <t xml:space="preserve">FEY THEO</t>
  </si>
  <si>
    <t xml:space="preserve">GRANDJEAN CYRILLE</t>
  </si>
  <si>
    <t xml:space="preserve">MARCHAL EMMA</t>
  </si>
  <si>
    <t xml:space="preserve">MARCHAL CLEMENT</t>
  </si>
  <si>
    <t xml:space="preserve">PLOMBIERES</t>
  </si>
  <si>
    <t xml:space="preserve">MARIN JEROME</t>
  </si>
  <si>
    <t xml:space="preserve">JORAND DANIEL</t>
  </si>
  <si>
    <t xml:space="preserve">AUBRY CEDRIC</t>
  </si>
  <si>
    <t xml:space="preserve">DERBESSE BASTIEN</t>
  </si>
  <si>
    <t xml:space="preserve">MARIN ANTONIN</t>
  </si>
  <si>
    <t xml:space="preserve">RAMBERVILLERS</t>
  </si>
  <si>
    <t xml:space="preserve">LALLEMAND AUGUSTIN</t>
  </si>
  <si>
    <t xml:space="preserve">VAIREL LOUIS</t>
  </si>
  <si>
    <t xml:space="preserve">VIMEUX JORDAN</t>
  </si>
  <si>
    <t xml:space="preserve">AUBRY GERALD</t>
  </si>
  <si>
    <t xml:space="preserve">POIROT JEAN-MARIE</t>
  </si>
  <si>
    <t xml:space="preserve">LA BRESSE</t>
  </si>
  <si>
    <t xml:space="preserve">GALMICHE CLAUDE</t>
  </si>
  <si>
    <t xml:space="preserve">GEROME EDITH</t>
  </si>
  <si>
    <t xml:space="preserve">POIROT JEAN-CLAUDE</t>
  </si>
  <si>
    <t xml:space="preserve">IMBERT LEONTINE</t>
  </si>
  <si>
    <t xml:space="preserve">OUDOT PAULA</t>
  </si>
  <si>
    <t xml:space="preserve">EPINAL</t>
  </si>
  <si>
    <t xml:space="preserve">GONELLY GAETAN</t>
  </si>
  <si>
    <t xml:space="preserve">BRIQUE ZACCHARY</t>
  </si>
  <si>
    <t xml:space="preserve">SIMONETTI FLORENT</t>
  </si>
  <si>
    <t xml:space="preserve">FOLLIOT JEROME</t>
  </si>
  <si>
    <t xml:space="preserve">GRAEBLING SOLENA</t>
  </si>
  <si>
    <t xml:space="preserve">MOYENMOUTIER</t>
  </si>
  <si>
    <t xml:space="preserve">TACHET JEAN-MICHEL</t>
  </si>
  <si>
    <t xml:space="preserve">GILLOT PIERRE</t>
  </si>
  <si>
    <t xml:space="preserve">CHAMBRY JUSTINE</t>
  </si>
  <si>
    <t xml:space="preserve">GRIVEL CHRISTOPHE</t>
  </si>
  <si>
    <t xml:space="preserve">COLIN MICHEL</t>
  </si>
  <si>
    <t xml:space="preserve">SAINT DIE</t>
  </si>
  <si>
    <t xml:space="preserve">MEUNIER PHILIPPE</t>
  </si>
  <si>
    <t xml:space="preserve">DIDIERGEORGE DOMINIQUE</t>
  </si>
  <si>
    <t xml:space="preserve">BLUM BERNARD</t>
  </si>
  <si>
    <t xml:space="preserve">RABASQUINHO JULIEN</t>
  </si>
  <si>
    <t xml:space="preserve">BOURG HEIDI</t>
  </si>
  <si>
    <t xml:space="preserve">NEUFCHATEAU</t>
  </si>
  <si>
    <t xml:space="preserve">WILLEMIN LUDOVIC</t>
  </si>
  <si>
    <t xml:space="preserve">BRION-BOGARD SANDRINE</t>
  </si>
  <si>
    <t xml:space="preserve">SERRANO FREDERIC</t>
  </si>
  <si>
    <t xml:space="preserve">CALME ROMAIN</t>
  </si>
  <si>
    <t xml:space="preserve">SOLER JOSE</t>
  </si>
  <si>
    <t xml:space="preserve">THAON</t>
  </si>
  <si>
    <t xml:space="preserve">TABOUREUX ANNE</t>
  </si>
  <si>
    <t xml:space="preserve">PARISSE ALEXANDRE</t>
  </si>
  <si>
    <t xml:space="preserve">FRAYARD LAURENCE</t>
  </si>
  <si>
    <t xml:space="preserve">TABOUREUX ADRIEN</t>
  </si>
  <si>
    <t xml:space="preserve">TABOUREUX CHRISTOPHE</t>
  </si>
  <si>
    <t xml:space="preserve">séries</t>
  </si>
  <si>
    <t xml:space="preserve">M* TT</t>
  </si>
  <si>
    <t xml:space="preserve">CLUB N°1</t>
  </si>
  <si>
    <t xml:space="preserve">NOMS</t>
  </si>
  <si>
    <t xml:space="preserve">série 1</t>
  </si>
  <si>
    <t xml:space="preserve">série 2</t>
  </si>
  <si>
    <t xml:space="preserve">série 3</t>
  </si>
  <si>
    <t xml:space="preserve">POINTS</t>
  </si>
  <si>
    <t xml:space="preserve">CLUB N°2</t>
  </si>
  <si>
    <t xml:space="preserve">CLUBS QUALIFIES EN PHASE FINALE</t>
  </si>
  <si>
    <r>
      <rPr>
        <b val="true"/>
        <sz val="30"/>
        <rFont val="Arial"/>
        <family val="2"/>
        <charset val="1"/>
      </rPr>
      <t xml:space="preserve">1er TOUR</t>
    </r>
    <r>
      <rPr>
        <b val="true"/>
        <sz val="40"/>
        <rFont val="Arial"/>
        <family val="2"/>
        <charset val="1"/>
      </rPr>
      <t xml:space="preserve">        1/4 FINALES         </t>
    </r>
    <r>
      <rPr>
        <b val="true"/>
        <sz val="30"/>
        <rFont val="Arial"/>
        <family val="2"/>
        <charset val="1"/>
      </rPr>
      <t xml:space="preserve">2e  TOUR</t>
    </r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</si>
  <si>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</si>
  <si>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</si>
  <si>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</si>
  <si>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</si>
  <si>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</si>
  <si>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</si>
  <si>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</si>
  <si>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</si>
  <si>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PETITE
FINALE</t>
  </si>
  <si>
    <t xml:space="preserve">1/4 finalistes sortants</t>
  </si>
  <si>
    <t xml:space="preserve">1 / 4   FINALES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</si>
</sst>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0000"/>
    <numFmt numFmtId="170" formatCode="0.0000000000"/>
    <numFmt numFmtId="171" formatCode="0.000000000"/>
    <numFmt numFmtId="172" formatCode="[$-40C]DD\-MMM"/>
    <numFmt numFmtId="173" formatCode="0.0000000000000000000"/>
  </numFmts>
  <fonts count="80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36"/>
      <name val="Helvetica Neue"/>
      <family val="2"/>
      <charset val="1"/>
    </font>
    <font>
      <b val="true"/>
      <sz val="28"/>
      <color rgb="FFBFBFBF"/>
      <name val="Helvetica Neue"/>
      <family val="2"/>
      <charset val="1"/>
    </font>
    <font>
      <b val="true"/>
      <sz val="30"/>
      <name val="Helvetica Neue"/>
      <family val="2"/>
      <charset val="1"/>
    </font>
    <font>
      <b val="true"/>
      <sz val="32"/>
      <name val="Helvetica Neue"/>
      <family val="2"/>
      <charset val="1"/>
    </font>
    <font>
      <sz val="30"/>
      <name val="Helvetica Neue"/>
      <family val="2"/>
      <charset val="1"/>
    </font>
    <font>
      <b val="true"/>
      <sz val="28"/>
      <name val="Helvetica Neue"/>
      <family val="2"/>
      <charset val="1"/>
    </font>
    <font>
      <b val="true"/>
      <sz val="80"/>
      <name val="Helvetica Neue"/>
      <family val="2"/>
      <charset val="1"/>
    </font>
    <font>
      <b val="true"/>
      <sz val="50"/>
      <color rgb="FFFFFFFF"/>
      <name val="Helvetica Neue"/>
      <family val="2"/>
      <charset val="1"/>
    </font>
    <font>
      <sz val="50"/>
      <color rgb="FFFFFFFF"/>
      <name val="Helvetica Neue"/>
      <family val="2"/>
      <charset val="1"/>
    </font>
    <font>
      <sz val="50"/>
      <name val="Helvetica Neue"/>
      <family val="2"/>
      <charset val="1"/>
    </font>
    <font>
      <b val="true"/>
      <sz val="50"/>
      <color rgb="FF808080"/>
      <name val="Helvetica Neue"/>
      <family val="2"/>
      <charset val="1"/>
    </font>
    <font>
      <b val="true"/>
      <sz val="50"/>
      <name val="Helvetica Neue"/>
      <family val="2"/>
      <charset val="1"/>
    </font>
    <font>
      <b val="true"/>
      <sz val="34"/>
      <color rgb="FFFF0000"/>
      <name val="Helvetica Neue"/>
      <family val="2"/>
      <charset val="1"/>
    </font>
    <font>
      <b val="true"/>
      <sz val="40"/>
      <color rgb="FFFFFFFF"/>
      <name val="Helvetica Neue"/>
      <family val="2"/>
      <charset val="1"/>
    </font>
    <font>
      <sz val="40"/>
      <color rgb="FFFFFFFF"/>
      <name val="Helvetica Neue"/>
      <family val="2"/>
      <charset val="1"/>
    </font>
    <font>
      <b val="true"/>
      <sz val="32"/>
      <color rgb="FF808080"/>
      <name val="Helvetica Neue"/>
      <family val="2"/>
      <charset val="1"/>
    </font>
    <font>
      <b val="true"/>
      <sz val="30"/>
      <color rgb="FFA6A6A6"/>
      <name val="Helvetica Neue"/>
      <family val="2"/>
      <charset val="1"/>
    </font>
    <font>
      <b val="true"/>
      <sz val="72"/>
      <name val="Helvetica Neue"/>
      <family val="2"/>
      <charset val="1"/>
    </font>
    <font>
      <b val="true"/>
      <sz val="40"/>
      <color rgb="FFBFBFBF"/>
      <name val="Helvetica Neue"/>
      <family val="2"/>
      <charset val="1"/>
    </font>
    <font>
      <sz val="24"/>
      <name val="Helvetica Neue"/>
      <family val="2"/>
      <charset val="1"/>
    </font>
    <font>
      <b val="true"/>
      <sz val="34"/>
      <color rgb="FFBFBFBF"/>
      <name val="Helvetica Neue"/>
      <family val="2"/>
      <charset val="1"/>
    </font>
    <font>
      <sz val="12"/>
      <name val="Arial"/>
      <family val="2"/>
      <charset val="1"/>
    </font>
    <font>
      <sz val="16"/>
      <name val="Arial Narrow"/>
      <family val="2"/>
      <charset val="1"/>
    </font>
    <font>
      <sz val="14"/>
      <name val="Arial Narrow"/>
      <family val="2"/>
      <charset val="1"/>
    </font>
    <font>
      <sz val="25"/>
      <name val="Arial Black"/>
      <family val="2"/>
      <charset val="1"/>
    </font>
    <font>
      <b val="true"/>
      <sz val="16"/>
      <name val="Arial Narrow"/>
      <family val="2"/>
      <charset val="1"/>
    </font>
    <font>
      <b val="true"/>
      <sz val="14"/>
      <name val="Arial Narrow"/>
      <family val="2"/>
      <charset val="1"/>
    </font>
    <font>
      <b val="true"/>
      <sz val="50"/>
      <name val="Arial"/>
      <family val="2"/>
      <charset val="1"/>
    </font>
    <font>
      <b val="true"/>
      <sz val="50"/>
      <color rgb="FF969696"/>
      <name val="Arial"/>
      <family val="2"/>
      <charset val="1"/>
    </font>
    <font>
      <b val="true"/>
      <sz val="30"/>
      <name val="Arial"/>
      <family val="2"/>
      <charset val="1"/>
    </font>
    <font>
      <b val="true"/>
      <sz val="40"/>
      <name val="Arial"/>
      <family val="2"/>
      <charset val="1"/>
    </font>
    <font>
      <b val="true"/>
      <sz val="16"/>
      <color rgb="FFFFFFFF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rgb="FFFFFFFF"/>
      <name val="Arial Narrow"/>
      <family val="2"/>
      <charset val="1"/>
    </font>
    <font>
      <b val="true"/>
      <sz val="15"/>
      <color rgb="FFFFFFFF"/>
      <name val="Arial Narrow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name val="Arial Narrow"/>
      <family val="2"/>
      <charset val="1"/>
    </font>
    <font>
      <b val="true"/>
      <sz val="60"/>
      <name val="Arial Narrow"/>
      <family val="2"/>
      <charset val="1"/>
    </font>
    <font>
      <b val="true"/>
      <sz val="15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30"/>
      <name val="Arial Black"/>
      <family val="2"/>
      <charset val="1"/>
    </font>
    <font>
      <sz val="45"/>
      <color rgb="FF000090"/>
      <name val="Arial Narrow"/>
      <family val="2"/>
      <charset val="1"/>
    </font>
    <font>
      <sz val="48"/>
      <name val="Arial Narrow"/>
      <family val="2"/>
      <charset val="1"/>
    </font>
    <font>
      <sz val="3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b val="true"/>
      <sz val="18"/>
      <name val="Arial Narrow"/>
      <family val="2"/>
      <charset val="1"/>
    </font>
    <font>
      <sz val="15"/>
      <color rgb="FF808080"/>
      <name val="Arial Narrow"/>
      <family val="2"/>
      <charset val="1"/>
    </font>
    <font>
      <b val="true"/>
      <sz val="20"/>
      <color rgb="FFC0C0C0"/>
      <name val="Arial Narrow"/>
      <family val="2"/>
      <charset val="1"/>
    </font>
    <font>
      <sz val="18"/>
      <color rgb="FF969696"/>
      <name val="Arial Narrow"/>
      <family val="2"/>
      <charset val="1"/>
    </font>
    <font>
      <b val="true"/>
      <sz val="20"/>
      <color rgb="FF808080"/>
      <name val="Arial Narrow"/>
      <family val="2"/>
      <charset val="1"/>
    </font>
    <font>
      <b val="true"/>
      <sz val="16"/>
      <color rgb="FF808080"/>
      <name val="Arial Narrow"/>
      <family val="2"/>
      <charset val="1"/>
    </font>
    <font>
      <b val="true"/>
      <sz val="22"/>
      <name val="Arial Narrow"/>
      <family val="2"/>
      <charset val="1"/>
    </font>
    <font>
      <sz val="20"/>
      <color rgb="FFBFBFBF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6B9B8"/>
        <bgColor rgb="FFC0C0C0"/>
      </patternFill>
    </fill>
    <fill>
      <patternFill patternType="solid">
        <fgColor rgb="FF558ED5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8EB4E3"/>
        <bgColor rgb="FFA6A6A6"/>
      </patternFill>
    </fill>
    <fill>
      <patternFill patternType="solid">
        <fgColor rgb="FF17375E"/>
        <bgColor rgb="FF333399"/>
      </patternFill>
    </fill>
    <fill>
      <patternFill patternType="solid">
        <fgColor rgb="FF632523"/>
        <bgColor rgb="FF333300"/>
      </patternFill>
    </fill>
    <fill>
      <patternFill patternType="solid">
        <fgColor rgb="FF984807"/>
        <bgColor rgb="FF993366"/>
      </patternFill>
    </fill>
    <fill>
      <patternFill patternType="solid">
        <fgColor rgb="FFECD300"/>
        <bgColor rgb="FFF4D9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>
        <color rgb="FF808080"/>
      </right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/>
      <bottom style="thick"/>
      <diagonal/>
    </border>
    <border diagonalUp="false" diagonalDown="false">
      <left style="thin">
        <color rgb="FF808080"/>
      </left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>
        <color rgb="FF808080"/>
      </bottom>
      <diagonal/>
    </border>
    <border diagonalUp="false" diagonalDown="false">
      <left style="thin"/>
      <right style="thin"/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n">
        <color rgb="FF808080"/>
      </right>
      <top style="thin">
        <color rgb="FF808080"/>
      </top>
      <bottom style="thick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ck"/>
      <diagonal/>
    </border>
    <border diagonalUp="false" diagonalDown="false">
      <left style="thick"/>
      <right style="thin"/>
      <top style="thin">
        <color rgb="FF808080"/>
      </top>
      <bottom style="thick"/>
      <diagonal/>
    </border>
    <border diagonalUp="false" diagonalDown="false">
      <left style="thin"/>
      <right style="thin"/>
      <top style="thin">
        <color rgb="FF808080"/>
      </top>
      <bottom style="thick"/>
      <diagonal/>
    </border>
    <border diagonalUp="false" diagonalDown="false">
      <left style="thick"/>
      <right style="thin"/>
      <top/>
      <bottom style="thin">
        <color rgb="FF808080"/>
      </bottom>
      <diagonal/>
    </border>
    <border diagonalUp="false" diagonalDown="false">
      <left style="thin"/>
      <right style="thin"/>
      <top/>
      <bottom style="thin">
        <color rgb="FF808080"/>
      </bottom>
      <diagonal/>
    </border>
    <border diagonalUp="false" diagonalDown="false">
      <left style="thin"/>
      <right style="thick"/>
      <top/>
      <bottom style="thin">
        <color rgb="FF808080"/>
      </bottom>
      <diagonal/>
    </border>
    <border diagonalUp="false" diagonalDown="false">
      <left style="thick"/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ck"/>
      <top/>
      <bottom style="thin">
        <color rgb="FF808080"/>
      </bottom>
      <diagonal/>
    </border>
    <border diagonalUp="false" diagonalDown="false">
      <left style="thick"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ck"/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ck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ck"/>
      <top style="thin">
        <color rgb="FF808080"/>
      </top>
      <bottom style="thick"/>
      <diagonal/>
    </border>
    <border diagonalUp="false" diagonalDown="false">
      <left style="thin">
        <color rgb="FF808080"/>
      </left>
      <right style="thick"/>
      <top style="thin">
        <color rgb="FF808080"/>
      </top>
      <bottom style="thick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ck">
        <color rgb="FFFFFFFF"/>
      </right>
      <top style="medium"/>
      <bottom/>
      <diagonal/>
    </border>
    <border diagonalUp="false" diagonalDown="false">
      <left style="thick">
        <color rgb="FFFFFFFF"/>
      </left>
      <right style="medium"/>
      <top style="medium"/>
      <bottom/>
      <diagonal/>
    </border>
    <border diagonalUp="false" diagonalDown="false">
      <left style="medium"/>
      <right style="thick">
        <color rgb="FFFFFFFF"/>
      </right>
      <top/>
      <bottom/>
      <diagonal/>
    </border>
    <border diagonalUp="false" diagonalDown="false">
      <left style="thick">
        <color rgb="FFFFFFFF"/>
      </left>
      <right style="medium"/>
      <top/>
      <bottom/>
      <diagonal/>
    </border>
    <border diagonalUp="false" diagonalDown="false">
      <left style="medium"/>
      <right style="thick">
        <color rgb="FFFFFFFF"/>
      </right>
      <top/>
      <bottom style="medium"/>
      <diagonal/>
    </border>
    <border diagonalUp="false" diagonalDown="false">
      <left style="thick">
        <color rgb="FFFFFFFF"/>
      </left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1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9" fillId="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4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5" fillId="7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7" fillId="7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7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7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8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8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8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8" fillId="8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9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9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9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9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1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6" fillId="10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8" fillId="0" borderId="6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61" fillId="0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0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4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5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6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7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7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3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1" fillId="0" borderId="6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9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71" fillId="0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1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CF305"/>
      </font>
    </dxf>
    <dxf>
      <font>
        <color rgb="FF969696"/>
      </font>
    </dxf>
    <dxf>
      <font>
        <color rgb="FFFF9900"/>
      </font>
    </dxf>
    <dxf>
      <font>
        <color rgb="FFFFFFFF"/>
      </font>
      <fill>
        <patternFill>
          <bgColor rgb="FF632523"/>
        </patternFill>
      </fill>
    </dxf>
    <dxf>
      <font>
        <color rgb="FFFFFFFF"/>
      </font>
      <fill>
        <patternFill>
          <bgColor rgb="FF17375E"/>
        </patternFill>
      </fill>
    </dxf>
    <dxf>
      <font>
        <b val="1"/>
        <i val="0"/>
      </font>
      <border diagonalUp="false" diagonalDown="false">
        <left style="dashDot"/>
        <right/>
        <top/>
        <bottom style="dash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b val="1"/>
        <i val="0"/>
        <strike val="0"/>
        <color rgb="FFFFFFFF"/>
      </font>
      <fill>
        <patternFill>
          <bgColor rgb="FF984807"/>
        </patternFill>
      </fill>
    </dxf>
    <dxf>
      <font>
        <b val="1"/>
        <i val="0"/>
        <strike val="0"/>
        <color rgb="FFFFFFFF"/>
      </font>
      <fill>
        <patternFill>
          <bgColor rgb="FFF4D900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ECD3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E6B9B8"/>
      <rgbColor rgb="FF3366FF"/>
      <rgbColor rgb="FF33CCCC"/>
      <rgbColor rgb="FF99CC00"/>
      <rgbColor rgb="FFF4D900"/>
      <rgbColor rgb="FFFF9900"/>
      <rgbColor rgb="FFFF6600"/>
      <rgbColor rgb="FF558ED5"/>
      <rgbColor rgb="FF969696"/>
      <rgbColor rgb="FF17375E"/>
      <rgbColor rgb="FF339966"/>
      <rgbColor rgb="FF003300"/>
      <rgbColor rgb="FF333300"/>
      <rgbColor rgb="FF984807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2790720</xdr:colOff>
      <xdr:row>3</xdr:row>
      <xdr:rowOff>1038240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2387520"/>
          <a:ext cx="4040280" cy="2612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31</xdr:col>
      <xdr:colOff>831240</xdr:colOff>
      <xdr:row>2</xdr:row>
      <xdr:rowOff>0</xdr:rowOff>
    </xdr:from>
    <xdr:to>
      <xdr:col>33</xdr:col>
      <xdr:colOff>1749600</xdr:colOff>
      <xdr:row>3</xdr:row>
      <xdr:rowOff>911160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8121280" y="2387520"/>
          <a:ext cx="2248920" cy="2485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190440</xdr:colOff>
      <xdr:row>33</xdr:row>
      <xdr:rowOff>380880</xdr:rowOff>
    </xdr:from>
    <xdr:to>
      <xdr:col>8</xdr:col>
      <xdr:colOff>25200</xdr:colOff>
      <xdr:row>33</xdr:row>
      <xdr:rowOff>380880</xdr:rowOff>
    </xdr:to>
    <xdr:sp>
      <xdr:nvSpPr>
        <xdr:cNvPr id="2" name="Line 1"/>
        <xdr:cNvSpPr/>
      </xdr:nvSpPr>
      <xdr:spPr>
        <a:xfrm flipH="1">
          <a:off x="848880" y="10464480"/>
          <a:ext cx="440280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0</xdr:colOff>
      <xdr:row>33</xdr:row>
      <xdr:rowOff>380880</xdr:rowOff>
    </xdr:from>
    <xdr:to>
      <xdr:col>20</xdr:col>
      <xdr:colOff>571320</xdr:colOff>
      <xdr:row>33</xdr:row>
      <xdr:rowOff>380880</xdr:rowOff>
    </xdr:to>
    <xdr:sp>
      <xdr:nvSpPr>
        <xdr:cNvPr id="3" name="Line 1"/>
        <xdr:cNvSpPr/>
      </xdr:nvSpPr>
      <xdr:spPr>
        <a:xfrm>
          <a:off x="9337320" y="10464480"/>
          <a:ext cx="448128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39960</xdr:colOff>
      <xdr:row>49</xdr:row>
      <xdr:rowOff>370080</xdr:rowOff>
    </xdr:from>
    <xdr:to>
      <xdr:col>20</xdr:col>
      <xdr:colOff>507960</xdr:colOff>
      <xdr:row>49</xdr:row>
      <xdr:rowOff>370080</xdr:rowOff>
    </xdr:to>
    <xdr:sp>
      <xdr:nvSpPr>
        <xdr:cNvPr id="4" name="Line 1"/>
        <xdr:cNvSpPr/>
      </xdr:nvSpPr>
      <xdr:spPr>
        <a:xfrm>
          <a:off x="9377280" y="14924160"/>
          <a:ext cx="437796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253800</xdr:colOff>
      <xdr:row>49</xdr:row>
      <xdr:rowOff>344880</xdr:rowOff>
    </xdr:from>
    <xdr:to>
      <xdr:col>8</xdr:col>
      <xdr:colOff>25200</xdr:colOff>
      <xdr:row>49</xdr:row>
      <xdr:rowOff>344880</xdr:rowOff>
    </xdr:to>
    <xdr:sp>
      <xdr:nvSpPr>
        <xdr:cNvPr id="5" name="Line 1"/>
        <xdr:cNvSpPr/>
      </xdr:nvSpPr>
      <xdr:spPr>
        <a:xfrm flipH="1">
          <a:off x="912240" y="14898960"/>
          <a:ext cx="433944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101520</xdr:colOff>
      <xdr:row>63</xdr:row>
      <xdr:rowOff>345960</xdr:rowOff>
    </xdr:from>
    <xdr:to>
      <xdr:col>9</xdr:col>
      <xdr:colOff>173520</xdr:colOff>
      <xdr:row>63</xdr:row>
      <xdr:rowOff>347400</xdr:rowOff>
    </xdr:to>
    <xdr:sp>
      <xdr:nvSpPr>
        <xdr:cNvPr id="6" name="Line 1"/>
        <xdr:cNvSpPr/>
      </xdr:nvSpPr>
      <xdr:spPr>
        <a:xfrm flipH="1" flipV="1">
          <a:off x="759960" y="19357560"/>
          <a:ext cx="5298480" cy="144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22320</xdr:colOff>
      <xdr:row>63</xdr:row>
      <xdr:rowOff>334080</xdr:rowOff>
    </xdr:from>
    <xdr:to>
      <xdr:col>21</xdr:col>
      <xdr:colOff>39960</xdr:colOff>
      <xdr:row>63</xdr:row>
      <xdr:rowOff>345960</xdr:rowOff>
    </xdr:to>
    <xdr:sp>
      <xdr:nvSpPr>
        <xdr:cNvPr id="7" name="Line 1"/>
        <xdr:cNvSpPr/>
      </xdr:nvSpPr>
      <xdr:spPr>
        <a:xfrm>
          <a:off x="8701200" y="19345680"/>
          <a:ext cx="5244480" cy="1188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200520</xdr:colOff>
      <xdr:row>0</xdr:row>
      <xdr:rowOff>133560</xdr:rowOff>
    </xdr:from>
    <xdr:to>
      <xdr:col>20</xdr:col>
      <xdr:colOff>611640</xdr:colOff>
      <xdr:row>2</xdr:row>
      <xdr:rowOff>250560</xdr:rowOff>
    </xdr:to>
    <xdr:pic>
      <xdr:nvPicPr>
        <xdr:cNvPr id="8" name="Image 1" descr=""/>
        <xdr:cNvPicPr/>
      </xdr:nvPicPr>
      <xdr:blipFill>
        <a:blip r:embed="rId1"/>
        <a:srcRect l="0" t="5651" r="0" b="6841"/>
        <a:stretch/>
      </xdr:blipFill>
      <xdr:spPr>
        <a:xfrm>
          <a:off x="12587760" y="133560"/>
          <a:ext cx="1271160" cy="127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66960</xdr:colOff>
      <xdr:row>0</xdr:row>
      <xdr:rowOff>133560</xdr:rowOff>
    </xdr:from>
    <xdr:to>
      <xdr:col>3</xdr:col>
      <xdr:colOff>260280</xdr:colOff>
      <xdr:row>2</xdr:row>
      <xdr:rowOff>223920</xdr:rowOff>
    </xdr:to>
    <xdr:pic>
      <xdr:nvPicPr>
        <xdr:cNvPr id="9" name="Image 11" descr=""/>
        <xdr:cNvPicPr/>
      </xdr:nvPicPr>
      <xdr:blipFill>
        <a:blip r:embed="rId2"/>
        <a:srcRect l="8366" t="6611" r="7676" b="7008"/>
        <a:stretch/>
      </xdr:blipFill>
      <xdr:spPr>
        <a:xfrm>
          <a:off x="725400" y="133560"/>
          <a:ext cx="1711440" cy="1245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50760</xdr:colOff>
      <xdr:row>4</xdr:row>
      <xdr:rowOff>127800</xdr:rowOff>
    </xdr:from>
    <xdr:to>
      <xdr:col>11</xdr:col>
      <xdr:colOff>50760</xdr:colOff>
      <xdr:row>29</xdr:row>
      <xdr:rowOff>129240</xdr:rowOff>
    </xdr:to>
    <xdr:sp>
      <xdr:nvSpPr>
        <xdr:cNvPr id="10" name="Line 1"/>
        <xdr:cNvSpPr/>
      </xdr:nvSpPr>
      <xdr:spPr>
        <a:xfrm>
          <a:off x="7332840" y="2413800"/>
          <a:ext cx="0" cy="724032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0</xdr:row>
      <xdr:rowOff>21240</xdr:rowOff>
    </xdr:from>
    <xdr:to>
      <xdr:col>1</xdr:col>
      <xdr:colOff>1203120</xdr:colOff>
      <xdr:row>2</xdr:row>
      <xdr:rowOff>449640</xdr:rowOff>
    </xdr:to>
    <xdr:pic>
      <xdr:nvPicPr>
        <xdr:cNvPr id="11" name="Picture 14" descr=""/>
        <xdr:cNvPicPr/>
      </xdr:nvPicPr>
      <xdr:blipFill>
        <a:blip r:embed="rId1"/>
        <a:stretch/>
      </xdr:blipFill>
      <xdr:spPr>
        <a:xfrm>
          <a:off x="63360" y="21240"/>
          <a:ext cx="1999440" cy="1317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0</xdr:rowOff>
    </xdr:from>
    <xdr:to>
      <xdr:col>8</xdr:col>
      <xdr:colOff>73080</xdr:colOff>
      <xdr:row>2</xdr:row>
      <xdr:rowOff>453960</xdr:rowOff>
    </xdr:to>
    <xdr:pic>
      <xdr:nvPicPr>
        <xdr:cNvPr id="12" name="Image 1" descr=""/>
        <xdr:cNvPicPr/>
      </xdr:nvPicPr>
      <xdr:blipFill>
        <a:blip r:embed="rId2"/>
        <a:stretch/>
      </xdr:blipFill>
      <xdr:spPr>
        <a:xfrm>
          <a:off x="12375360" y="0"/>
          <a:ext cx="974160" cy="1342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bbaudio@gmail.com" TargetMode="External"/><Relationship Id="rId2" Type="http://schemas.openxmlformats.org/officeDocument/2006/relationships/hyperlink" Target="mailto:pquentel@fftir.org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1" sqref="E12:E16 B8"/>
    </sheetView>
  </sheetViews>
  <sheetFormatPr defaultRowHeight="13" zeroHeight="false" outlineLevelRow="0" outlineLevelCol="0"/>
  <cols>
    <col collapsed="false" customWidth="true" hidden="false" outlineLevel="0" max="1" min="1" style="1" width="17.66"/>
    <col collapsed="false" customWidth="true" hidden="false" outlineLevel="0" max="2" min="2" style="1" width="29.67"/>
    <col collapsed="false" customWidth="true" hidden="false" outlineLevel="0" max="3" min="3" style="1" width="30.83"/>
    <col collapsed="false" customWidth="true" hidden="false" outlineLevel="0" max="4" min="4" style="1" width="2.66"/>
    <col collapsed="false" customWidth="true" hidden="false" outlineLevel="0" max="1025" min="5" style="1" width="10.66"/>
  </cols>
  <sheetData>
    <row r="1" customFormat="false" ht="97" hidden="false" customHeight="true" outlineLevel="0" collapsed="false">
      <c r="A1" s="2" t="s">
        <v>0</v>
      </c>
      <c r="B1" s="2"/>
      <c r="C1" s="2"/>
    </row>
    <row r="2" customFormat="false" ht="25" hidden="false" customHeight="true" outlineLevel="0" collapsed="false">
      <c r="A2" s="3"/>
      <c r="B2" s="3"/>
      <c r="C2" s="3"/>
    </row>
    <row r="3" customFormat="false" ht="25" hidden="false" customHeight="true" outlineLevel="0" collapsed="false">
      <c r="A3" s="4" t="s">
        <v>1</v>
      </c>
      <c r="B3" s="4"/>
      <c r="C3" s="4"/>
    </row>
    <row r="4" customFormat="false" ht="25" hidden="false" customHeight="true" outlineLevel="0" collapsed="false">
      <c r="A4" s="5" t="s">
        <v>2</v>
      </c>
      <c r="B4" s="6" t="n">
        <v>42352</v>
      </c>
      <c r="C4" s="7"/>
    </row>
    <row r="5" customFormat="false" ht="25" hidden="false" customHeight="true" outlineLevel="0" collapsed="false">
      <c r="A5" s="5" t="s">
        <v>3</v>
      </c>
      <c r="B5" s="8" t="s">
        <v>4</v>
      </c>
      <c r="C5" s="7"/>
    </row>
    <row r="6" customFormat="false" ht="25" hidden="false" customHeight="true" outlineLevel="0" collapsed="false">
      <c r="A6" s="5" t="s">
        <v>5</v>
      </c>
      <c r="B6" s="9" t="s">
        <v>6</v>
      </c>
      <c r="C6" s="7"/>
    </row>
    <row r="7" customFormat="false" ht="25" hidden="false" customHeight="true" outlineLevel="0" collapsed="false">
      <c r="A7" s="5" t="s">
        <v>7</v>
      </c>
      <c r="B7" s="8" t="s">
        <v>8</v>
      </c>
      <c r="C7" s="7" t="s">
        <v>9</v>
      </c>
    </row>
    <row r="8" customFormat="false" ht="25" hidden="false" customHeight="true" outlineLevel="0" collapsed="false">
      <c r="A8" s="5" t="s">
        <v>10</v>
      </c>
      <c r="B8" s="10" t="n">
        <v>10</v>
      </c>
      <c r="C8" s="7"/>
    </row>
    <row r="9" customFormat="false" ht="25" hidden="false" customHeight="true" outlineLevel="0" collapsed="false">
      <c r="A9" s="11" t="s">
        <v>11</v>
      </c>
      <c r="B9" s="12" t="s">
        <v>12</v>
      </c>
      <c r="C9" s="7" t="s">
        <v>13</v>
      </c>
    </row>
    <row r="10" customFormat="false" ht="25" hidden="false" customHeight="true" outlineLevel="0" collapsed="false">
      <c r="A10" s="13"/>
      <c r="B10" s="13"/>
      <c r="C10" s="14"/>
    </row>
    <row r="11" customFormat="false" ht="25" hidden="false" customHeight="true" outlineLevel="0" collapsed="false">
      <c r="A11" s="4" t="s">
        <v>14</v>
      </c>
      <c r="B11" s="4"/>
      <c r="C11" s="4"/>
    </row>
    <row r="12" customFormat="false" ht="30" hidden="false" customHeight="true" outlineLevel="0" collapsed="false">
      <c r="A12" s="5" t="s">
        <v>15</v>
      </c>
      <c r="B12" s="15" t="s">
        <v>16</v>
      </c>
      <c r="C12" s="16"/>
    </row>
    <row r="13" customFormat="false" ht="30" hidden="false" customHeight="true" outlineLevel="0" collapsed="false">
      <c r="A13" s="11" t="s">
        <v>17</v>
      </c>
      <c r="B13" s="17" t="s">
        <v>18</v>
      </c>
      <c r="C13" s="7"/>
    </row>
    <row r="14" customFormat="false" ht="30" hidden="false" customHeight="true" outlineLevel="0" collapsed="false">
      <c r="A14" s="11" t="s">
        <v>19</v>
      </c>
      <c r="B14" s="18" t="s">
        <v>20</v>
      </c>
      <c r="C14" s="19"/>
    </row>
    <row r="16" customFormat="false" ht="92" hidden="false" customHeight="true" outlineLevel="0" collapsed="false">
      <c r="A16" s="20" t="s">
        <v>21</v>
      </c>
      <c r="B16" s="20"/>
      <c r="C16" s="20"/>
    </row>
    <row r="17" customFormat="false" ht="15" hidden="false" customHeight="true" outlineLevel="0" collapsed="false">
      <c r="A17" s="21" t="s">
        <v>22</v>
      </c>
      <c r="B17" s="21"/>
      <c r="C17" s="22"/>
    </row>
    <row r="18" customFormat="false" ht="15" hidden="false" customHeight="true" outlineLevel="0" collapsed="false">
      <c r="A18" s="23" t="s">
        <v>23</v>
      </c>
      <c r="B18" s="23"/>
      <c r="C18" s="24"/>
    </row>
    <row r="19" customFormat="false" ht="15" hidden="false" customHeight="true" outlineLevel="0" collapsed="false">
      <c r="A19" s="25" t="s">
        <v>24</v>
      </c>
      <c r="B19" s="25"/>
      <c r="C19" s="26"/>
    </row>
  </sheetData>
  <sheetProtection algorithmName="SHA-512" hashValue="/eyMMzTaOCxi+9Peyr10nGGumkDMaTTWF+uobK9DJn40WcfRUgB8+Zp832IwjbwCiuI81S/+CI+BuRQMkgSX7g==" saltValue="X3abCaFgxh8GaLY5IUr9sQ==" spinCount="100000" sheet="true" objects="true" scenarios="tru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sbbaudio@gmail.com"/>
    <hyperlink ref="A18" r:id="rId2" display="pquentel@fftir.org"/>
  </hyperlink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6" topLeftCell="E7" activePane="bottomRight" state="frozen"/>
      <selection pane="topLeft" activeCell="A1" activeCellId="0" sqref="A1"/>
      <selection pane="topRight" activeCell="E1" activeCellId="0" sqref="E1"/>
      <selection pane="bottomLeft" activeCell="A7" activeCellId="0" sqref="A7"/>
      <selection pane="bottomRight" activeCell="A7" activeCellId="1" sqref="E12:E16 A7"/>
    </sheetView>
  </sheetViews>
  <sheetFormatPr defaultRowHeight="45" zeroHeight="false" outlineLevelRow="0" outlineLevelCol="1"/>
  <cols>
    <col collapsed="false" customWidth="true" hidden="false" outlineLevel="0" max="1" min="1" style="27" width="7.83"/>
    <col collapsed="false" customWidth="true" hidden="false" outlineLevel="1" max="2" min="2" style="28" width="4.12"/>
    <col collapsed="false" customWidth="true" hidden="false" outlineLevel="0" max="3" min="3" style="29" width="53.14"/>
    <col collapsed="false" customWidth="true" hidden="false" outlineLevel="0" max="4" min="4" style="29" width="4.12"/>
    <col collapsed="false" customWidth="true" hidden="false" outlineLevel="0" max="5" min="5" style="29" width="100.33"/>
    <col collapsed="false" customWidth="true" hidden="false" outlineLevel="0" max="8" min="6" style="30" width="20.17"/>
    <col collapsed="false" customWidth="true" hidden="false" outlineLevel="0" max="9" min="9" style="30" width="27.17"/>
    <col collapsed="false" customWidth="true" hidden="true" outlineLevel="0" max="10" min="10" style="30" width="10.83"/>
    <col collapsed="false" customWidth="true" hidden="false" outlineLevel="0" max="11" min="11" style="29" width="100.33"/>
    <col collapsed="false" customWidth="true" hidden="false" outlineLevel="0" max="12" min="12" style="31" width="20.17"/>
    <col collapsed="false" customWidth="true" hidden="false" outlineLevel="0" max="14" min="13" style="30" width="20.17"/>
    <col collapsed="false" customWidth="true" hidden="false" outlineLevel="0" max="15" min="15" style="30" width="23.83"/>
    <col collapsed="false" customWidth="true" hidden="true" outlineLevel="0" max="16" min="16" style="30" width="10.5"/>
    <col collapsed="false" customWidth="true" hidden="false" outlineLevel="0" max="17" min="17" style="29" width="100.33"/>
    <col collapsed="false" customWidth="true" hidden="false" outlineLevel="0" max="19" min="18" style="30" width="20.17"/>
    <col collapsed="false" customWidth="true" hidden="false" outlineLevel="0" max="20" min="20" style="31" width="20.17"/>
    <col collapsed="false" customWidth="true" hidden="false" outlineLevel="0" max="21" min="21" style="30" width="23.66"/>
    <col collapsed="false" customWidth="true" hidden="true" outlineLevel="0" max="22" min="22" style="30" width="10.66"/>
    <col collapsed="false" customWidth="true" hidden="false" outlineLevel="0" max="23" min="23" style="29" width="100.33"/>
    <col collapsed="false" customWidth="true" hidden="false" outlineLevel="0" max="26" min="24" style="30" width="20.17"/>
    <col collapsed="false" customWidth="true" hidden="false" outlineLevel="0" max="27" min="27" style="30" width="22.33"/>
    <col collapsed="false" customWidth="true" hidden="true" outlineLevel="0" max="28" min="28" style="30" width="10.66"/>
    <col collapsed="false" customWidth="true" hidden="false" outlineLevel="0" max="29" min="29" style="32" width="100.33"/>
    <col collapsed="false" customWidth="true" hidden="false" outlineLevel="0" max="32" min="30" style="30" width="20.17"/>
    <col collapsed="false" customWidth="true" hidden="false" outlineLevel="0" max="33" min="33" style="30" width="23.17"/>
    <col collapsed="false" customWidth="true" hidden="true" outlineLevel="0" max="34" min="34" style="30" width="10.66"/>
    <col collapsed="false" customWidth="true" hidden="false" outlineLevel="0" max="35" min="35" style="30" width="26.83"/>
    <col collapsed="false" customWidth="true" hidden="false" outlineLevel="0" max="36" min="36" style="33" width="0.5"/>
    <col collapsed="false" customWidth="true" hidden="false" outlineLevel="0" max="37" min="37" style="34" width="9.33"/>
    <col collapsed="false" customWidth="true" hidden="true" outlineLevel="1" max="38" min="38" style="30" width="73.67"/>
    <col collapsed="false" customWidth="true" hidden="false" outlineLevel="0" max="45" min="39" style="34" width="14.66"/>
    <col collapsed="false" customWidth="true" hidden="false" outlineLevel="0" max="1025" min="46" style="34" width="10.66"/>
  </cols>
  <sheetData>
    <row r="1" customFormat="false" ht="44" hidden="false" customHeight="true" outlineLevel="0" collapsed="false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customFormat="false" ht="94" hidden="false" customHeight="true" outlineLevel="0" collapsed="false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customFormat="false" ht="83" hidden="false" customHeight="true" outlineLevel="0" collapsed="false">
      <c r="A3" s="36" t="str">
        <f aca="false">CONCATENATE("MATCH DE QUALIFICATION"," - ",INFO!B7," - ",INFO!B9)</f>
        <v>MATCH DE QUALIFICATION - PISTOLET - LORRAINE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customFormat="false" ht="83" hidden="false" customHeight="true" outlineLevel="0" collapsed="false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="52" customFormat="true" ht="64" hidden="false" customHeight="true" outlineLevel="0" collapsed="false">
      <c r="A5" s="37" t="s">
        <v>25</v>
      </c>
      <c r="B5" s="38" t="s">
        <v>26</v>
      </c>
      <c r="C5" s="39" t="s">
        <v>27</v>
      </c>
      <c r="D5" s="40" t="s">
        <v>28</v>
      </c>
      <c r="E5" s="41" t="s">
        <v>29</v>
      </c>
      <c r="F5" s="42" t="s">
        <v>30</v>
      </c>
      <c r="G5" s="42"/>
      <c r="H5" s="42"/>
      <c r="I5" s="43" t="s">
        <v>31</v>
      </c>
      <c r="J5" s="44" t="s">
        <v>32</v>
      </c>
      <c r="K5" s="45" t="s">
        <v>29</v>
      </c>
      <c r="L5" s="46" t="s">
        <v>30</v>
      </c>
      <c r="M5" s="46"/>
      <c r="N5" s="46"/>
      <c r="O5" s="39" t="s">
        <v>31</v>
      </c>
      <c r="P5" s="40" t="s">
        <v>32</v>
      </c>
      <c r="Q5" s="45" t="s">
        <v>29</v>
      </c>
      <c r="R5" s="46" t="s">
        <v>30</v>
      </c>
      <c r="S5" s="46"/>
      <c r="T5" s="46"/>
      <c r="U5" s="39" t="s">
        <v>31</v>
      </c>
      <c r="V5" s="47" t="s">
        <v>32</v>
      </c>
      <c r="W5" s="45" t="s">
        <v>29</v>
      </c>
      <c r="X5" s="46" t="s">
        <v>30</v>
      </c>
      <c r="Y5" s="46"/>
      <c r="Z5" s="46"/>
      <c r="AA5" s="39" t="s">
        <v>31</v>
      </c>
      <c r="AB5" s="40" t="s">
        <v>32</v>
      </c>
      <c r="AC5" s="45" t="s">
        <v>29</v>
      </c>
      <c r="AD5" s="46" t="s">
        <v>30</v>
      </c>
      <c r="AE5" s="46"/>
      <c r="AF5" s="46"/>
      <c r="AG5" s="39" t="s">
        <v>31</v>
      </c>
      <c r="AH5" s="40" t="s">
        <v>32</v>
      </c>
      <c r="AI5" s="48" t="s">
        <v>33</v>
      </c>
      <c r="AJ5" s="49" t="s">
        <v>34</v>
      </c>
      <c r="AK5" s="50"/>
      <c r="AL5" s="51" t="s">
        <v>35</v>
      </c>
    </row>
    <row r="6" s="52" customFormat="true" ht="72" hidden="false" customHeight="true" outlineLevel="0" collapsed="false">
      <c r="A6" s="37"/>
      <c r="B6" s="38"/>
      <c r="C6" s="38"/>
      <c r="D6" s="40"/>
      <c r="E6" s="53" t="s">
        <v>36</v>
      </c>
      <c r="F6" s="54" t="n">
        <v>1</v>
      </c>
      <c r="G6" s="54" t="n">
        <v>2</v>
      </c>
      <c r="H6" s="54" t="n">
        <v>3</v>
      </c>
      <c r="I6" s="43"/>
      <c r="J6" s="44"/>
      <c r="K6" s="55" t="s">
        <v>37</v>
      </c>
      <c r="L6" s="56" t="n">
        <v>1</v>
      </c>
      <c r="M6" s="56" t="n">
        <v>2</v>
      </c>
      <c r="N6" s="56" t="n">
        <v>3</v>
      </c>
      <c r="O6" s="39"/>
      <c r="P6" s="40"/>
      <c r="Q6" s="55" t="s">
        <v>38</v>
      </c>
      <c r="R6" s="56" t="n">
        <v>1</v>
      </c>
      <c r="S6" s="56" t="n">
        <v>2</v>
      </c>
      <c r="T6" s="56" t="n">
        <v>3</v>
      </c>
      <c r="U6" s="39"/>
      <c r="V6" s="47"/>
      <c r="W6" s="55" t="s">
        <v>39</v>
      </c>
      <c r="X6" s="56" t="n">
        <v>1</v>
      </c>
      <c r="Y6" s="56" t="n">
        <v>2</v>
      </c>
      <c r="Z6" s="56" t="n">
        <v>3</v>
      </c>
      <c r="AA6" s="39"/>
      <c r="AB6" s="40"/>
      <c r="AC6" s="55" t="s">
        <v>40</v>
      </c>
      <c r="AD6" s="56" t="n">
        <v>1</v>
      </c>
      <c r="AE6" s="56" t="n">
        <v>2</v>
      </c>
      <c r="AF6" s="56" t="n">
        <v>3</v>
      </c>
      <c r="AG6" s="39"/>
      <c r="AH6" s="40"/>
      <c r="AI6" s="48"/>
      <c r="AJ6" s="49"/>
      <c r="AL6" s="51"/>
    </row>
    <row r="7" s="71" customFormat="true" ht="120" hidden="false" customHeight="true" outlineLevel="0" collapsed="false">
      <c r="A7" s="57" t="n">
        <v>1</v>
      </c>
      <c r="B7" s="58" t="n">
        <f aca="false">RANK(AL7,$AL$7:$AL$26,0)</f>
        <v>3</v>
      </c>
      <c r="C7" s="59" t="s">
        <v>41</v>
      </c>
      <c r="D7" s="60" t="n">
        <v>1288404</v>
      </c>
      <c r="E7" s="61" t="s">
        <v>42</v>
      </c>
      <c r="F7" s="62" t="n">
        <v>86</v>
      </c>
      <c r="G7" s="62" t="n">
        <v>79</v>
      </c>
      <c r="H7" s="62" t="n">
        <v>85</v>
      </c>
      <c r="I7" s="63" t="n">
        <f aca="false">SUM(F7:H7)</f>
        <v>250</v>
      </c>
      <c r="J7" s="64"/>
      <c r="K7" s="65" t="s">
        <v>43</v>
      </c>
      <c r="L7" s="62" t="n">
        <v>95</v>
      </c>
      <c r="M7" s="62" t="n">
        <v>86</v>
      </c>
      <c r="N7" s="66" t="n">
        <v>92</v>
      </c>
      <c r="O7" s="67" t="n">
        <f aca="false">SUM(L7:N7)</f>
        <v>273</v>
      </c>
      <c r="P7" s="68"/>
      <c r="Q7" s="65" t="s">
        <v>44</v>
      </c>
      <c r="R7" s="62" t="n">
        <v>80</v>
      </c>
      <c r="S7" s="62" t="n">
        <v>75</v>
      </c>
      <c r="T7" s="66" t="n">
        <v>81</v>
      </c>
      <c r="U7" s="67" t="n">
        <f aca="false">SUM(R7:T7)</f>
        <v>236</v>
      </c>
      <c r="V7" s="68"/>
      <c r="W7" s="65" t="s">
        <v>45</v>
      </c>
      <c r="X7" s="62" t="n">
        <v>89</v>
      </c>
      <c r="Y7" s="62" t="n">
        <v>95</v>
      </c>
      <c r="Z7" s="66" t="n">
        <v>93</v>
      </c>
      <c r="AA7" s="67" t="n">
        <f aca="false">SUM(X7:Z7)</f>
        <v>277</v>
      </c>
      <c r="AB7" s="68"/>
      <c r="AC7" s="65" t="s">
        <v>46</v>
      </c>
      <c r="AD7" s="62" t="n">
        <v>91</v>
      </c>
      <c r="AE7" s="62" t="n">
        <v>90</v>
      </c>
      <c r="AF7" s="66" t="n">
        <v>86</v>
      </c>
      <c r="AG7" s="67" t="n">
        <f aca="false">SUM(AD7:AF7)</f>
        <v>267</v>
      </c>
      <c r="AH7" s="68"/>
      <c r="AI7" s="69" t="n">
        <f aca="false">SUM(I7+O7+U7+AA7+AG7)</f>
        <v>1303</v>
      </c>
      <c r="AJ7" s="70" t="n">
        <f aca="false">J7+P7+V7+AB7+AH7</f>
        <v>0</v>
      </c>
      <c r="AL7" s="72" t="n">
        <f aca="false">I7+O7+U7+AA7+AG7+(0.000001*(J7+P7+V7+AB7+AH7))+(0.000000001*(H7+N7+T7+Z7+AF7))+(0.000000000001*(G7+M7+S7+Y7+AE7))</f>
        <v>1303.00000043743</v>
      </c>
    </row>
    <row r="8" s="71" customFormat="true" ht="120" hidden="false" customHeight="true" outlineLevel="0" collapsed="false">
      <c r="A8" s="73" t="n">
        <v>2</v>
      </c>
      <c r="B8" s="74" t="n">
        <f aca="false">RANK(AL8,$AL$7:$AL$26,0)</f>
        <v>7</v>
      </c>
      <c r="C8" s="75" t="s">
        <v>47</v>
      </c>
      <c r="D8" s="76" t="n">
        <v>1288380</v>
      </c>
      <c r="E8" s="77" t="s">
        <v>48</v>
      </c>
      <c r="F8" s="78" t="n">
        <v>85</v>
      </c>
      <c r="G8" s="78" t="n">
        <v>81</v>
      </c>
      <c r="H8" s="78" t="n">
        <v>90</v>
      </c>
      <c r="I8" s="79" t="n">
        <f aca="false">SUM(F8:H8)</f>
        <v>256</v>
      </c>
      <c r="J8" s="80"/>
      <c r="K8" s="81" t="s">
        <v>49</v>
      </c>
      <c r="L8" s="78" t="n">
        <v>80</v>
      </c>
      <c r="M8" s="78" t="n">
        <v>76</v>
      </c>
      <c r="N8" s="82" t="n">
        <v>83</v>
      </c>
      <c r="O8" s="83" t="n">
        <f aca="false">SUM(L8:N8)</f>
        <v>239</v>
      </c>
      <c r="P8" s="84"/>
      <c r="Q8" s="81" t="s">
        <v>50</v>
      </c>
      <c r="R8" s="78" t="n">
        <v>76</v>
      </c>
      <c r="S8" s="78" t="n">
        <v>74</v>
      </c>
      <c r="T8" s="82" t="n">
        <v>86</v>
      </c>
      <c r="U8" s="83" t="n">
        <f aca="false">SUM(R8:T8)</f>
        <v>236</v>
      </c>
      <c r="V8" s="84"/>
      <c r="W8" s="81" t="s">
        <v>51</v>
      </c>
      <c r="X8" s="78" t="n">
        <v>93</v>
      </c>
      <c r="Y8" s="78" t="n">
        <v>86</v>
      </c>
      <c r="Z8" s="82" t="n">
        <v>80</v>
      </c>
      <c r="AA8" s="83" t="n">
        <f aca="false">SUM(X8:Z8)</f>
        <v>259</v>
      </c>
      <c r="AB8" s="84"/>
      <c r="AC8" s="81" t="s">
        <v>52</v>
      </c>
      <c r="AD8" s="78" t="n">
        <v>81</v>
      </c>
      <c r="AE8" s="78" t="n">
        <v>88</v>
      </c>
      <c r="AF8" s="82" t="n">
        <v>86</v>
      </c>
      <c r="AG8" s="83" t="n">
        <f aca="false">SUM(AD8:AF8)</f>
        <v>255</v>
      </c>
      <c r="AH8" s="84"/>
      <c r="AI8" s="85" t="n">
        <f aca="false">SUM(I8+O8+U8+AA8+AG8)</f>
        <v>1245</v>
      </c>
      <c r="AJ8" s="86" t="n">
        <f aca="false">J8+P8+V8+AB8+AH8</f>
        <v>0</v>
      </c>
      <c r="AL8" s="72" t="n">
        <f aca="false">I8+O8+U8+AA8+AG8+(0.000001*(J8+P8+V8+AB8+AH8))+(0.000000001*(H8+N8+T8+Z8+AF8))+(0.000000000001*(G8+M8+S8+Y8+AE8))</f>
        <v>1245.00000042541</v>
      </c>
    </row>
    <row r="9" s="71" customFormat="true" ht="120" hidden="false" customHeight="true" outlineLevel="0" collapsed="false">
      <c r="A9" s="73" t="n">
        <v>3</v>
      </c>
      <c r="B9" s="74" t="n">
        <f aca="false">RANK(AL9,$AL$7:$AL$26,0)</f>
        <v>5</v>
      </c>
      <c r="C9" s="75" t="s">
        <v>53</v>
      </c>
      <c r="D9" s="76" t="n">
        <v>1288435</v>
      </c>
      <c r="E9" s="77" t="s">
        <v>54</v>
      </c>
      <c r="F9" s="78" t="n">
        <v>92</v>
      </c>
      <c r="G9" s="78" t="n">
        <v>91</v>
      </c>
      <c r="H9" s="78" t="n">
        <v>89</v>
      </c>
      <c r="I9" s="79" t="n">
        <f aca="false">SUM(F9:H9)</f>
        <v>272</v>
      </c>
      <c r="J9" s="80"/>
      <c r="K9" s="81" t="s">
        <v>55</v>
      </c>
      <c r="L9" s="78" t="n">
        <v>85</v>
      </c>
      <c r="M9" s="78" t="n">
        <v>84</v>
      </c>
      <c r="N9" s="82" t="n">
        <v>85</v>
      </c>
      <c r="O9" s="83" t="n">
        <f aca="false">SUM(L9:N9)</f>
        <v>254</v>
      </c>
      <c r="P9" s="84"/>
      <c r="Q9" s="81" t="s">
        <v>56</v>
      </c>
      <c r="R9" s="78" t="n">
        <v>82</v>
      </c>
      <c r="S9" s="78" t="n">
        <v>86</v>
      </c>
      <c r="T9" s="82" t="n">
        <v>92</v>
      </c>
      <c r="U9" s="83" t="n">
        <f aca="false">SUM(R9:T9)</f>
        <v>260</v>
      </c>
      <c r="V9" s="84"/>
      <c r="W9" s="81" t="s">
        <v>57</v>
      </c>
      <c r="X9" s="78" t="n">
        <v>63</v>
      </c>
      <c r="Y9" s="78" t="n">
        <v>73</v>
      </c>
      <c r="Z9" s="82" t="n">
        <v>79</v>
      </c>
      <c r="AA9" s="83" t="n">
        <f aca="false">SUM(X9:Z9)</f>
        <v>215</v>
      </c>
      <c r="AB9" s="84"/>
      <c r="AC9" s="81" t="s">
        <v>58</v>
      </c>
      <c r="AD9" s="78" t="n">
        <v>93</v>
      </c>
      <c r="AE9" s="78" t="n">
        <v>90</v>
      </c>
      <c r="AF9" s="82" t="n">
        <v>95</v>
      </c>
      <c r="AG9" s="83" t="n">
        <f aca="false">SUM(AD9:AF9)</f>
        <v>278</v>
      </c>
      <c r="AH9" s="84"/>
      <c r="AI9" s="85" t="n">
        <f aca="false">SUM(I9+O9+U9+AA9+AG9)</f>
        <v>1279</v>
      </c>
      <c r="AJ9" s="86" t="n">
        <f aca="false">J9+P9+V9+AB9+AH9</f>
        <v>0</v>
      </c>
      <c r="AL9" s="72" t="n">
        <f aca="false">I9+O9+U9+AA9+AG9+(0.000001*(J9+P9+V9+AB9+AH9))+(0.000000001*(H9+N9+T9+Z9+AF9))+(0.000000000001*(G9+M9+S9+Y9+AE9))</f>
        <v>1279.00000044042</v>
      </c>
    </row>
    <row r="10" s="71" customFormat="true" ht="120" hidden="false" customHeight="true" outlineLevel="0" collapsed="false">
      <c r="A10" s="73" t="n">
        <v>4</v>
      </c>
      <c r="B10" s="74" t="n">
        <f aca="false">RANK(AL10,$AL$7:$AL$26,0)</f>
        <v>8</v>
      </c>
      <c r="C10" s="75" t="s">
        <v>59</v>
      </c>
      <c r="D10" s="76" t="n">
        <v>1288512</v>
      </c>
      <c r="E10" s="77" t="s">
        <v>60</v>
      </c>
      <c r="F10" s="78" t="n">
        <v>74</v>
      </c>
      <c r="G10" s="78" t="n">
        <v>76</v>
      </c>
      <c r="H10" s="78" t="n">
        <v>78</v>
      </c>
      <c r="I10" s="79" t="n">
        <f aca="false">SUM(F10:H10)</f>
        <v>228</v>
      </c>
      <c r="J10" s="80"/>
      <c r="K10" s="81" t="s">
        <v>61</v>
      </c>
      <c r="L10" s="78" t="n">
        <v>81</v>
      </c>
      <c r="M10" s="78" t="n">
        <v>88</v>
      </c>
      <c r="N10" s="82" t="n">
        <v>79</v>
      </c>
      <c r="O10" s="83" t="n">
        <f aca="false">SUM(L10:N10)</f>
        <v>248</v>
      </c>
      <c r="P10" s="84"/>
      <c r="Q10" s="81" t="s">
        <v>62</v>
      </c>
      <c r="R10" s="78" t="n">
        <v>93</v>
      </c>
      <c r="S10" s="78" t="n">
        <v>80</v>
      </c>
      <c r="T10" s="82" t="n">
        <v>91</v>
      </c>
      <c r="U10" s="83" t="n">
        <f aca="false">SUM(R10:T10)</f>
        <v>264</v>
      </c>
      <c r="V10" s="84"/>
      <c r="W10" s="81" t="s">
        <v>63</v>
      </c>
      <c r="X10" s="78" t="n">
        <v>75</v>
      </c>
      <c r="Y10" s="78" t="n">
        <v>64</v>
      </c>
      <c r="Z10" s="82" t="n">
        <v>87</v>
      </c>
      <c r="AA10" s="83" t="n">
        <f aca="false">SUM(X10:Z10)</f>
        <v>226</v>
      </c>
      <c r="AB10" s="84"/>
      <c r="AC10" s="81" t="s">
        <v>64</v>
      </c>
      <c r="AD10" s="78" t="n">
        <v>86</v>
      </c>
      <c r="AE10" s="78" t="n">
        <v>80</v>
      </c>
      <c r="AF10" s="82" t="n">
        <v>80</v>
      </c>
      <c r="AG10" s="83" t="n">
        <f aca="false">SUM(AD10:AF10)</f>
        <v>246</v>
      </c>
      <c r="AH10" s="84"/>
      <c r="AI10" s="85" t="n">
        <f aca="false">SUM(I10+O10+U10+AA10+AG10)</f>
        <v>1212</v>
      </c>
      <c r="AJ10" s="86" t="n">
        <f aca="false">J10+P10+V10+AB10+AH10</f>
        <v>0</v>
      </c>
      <c r="AL10" s="72" t="n">
        <f aca="false">I10+O10+U10+AA10+AG10+(0.000001*(J10+P10+V10+AB10+AH10))+(0.000000001*(H10+N10+T10+Z10+AF10))+(0.000000000001*(G10+M10+S10+Y10+AE10))</f>
        <v>1212.00000041539</v>
      </c>
    </row>
    <row r="11" s="71" customFormat="true" ht="120" hidden="false" customHeight="true" outlineLevel="0" collapsed="false">
      <c r="A11" s="73" t="n">
        <v>5</v>
      </c>
      <c r="B11" s="74" t="n">
        <f aca="false">RANK(AL11,$AL$7:$AL$26,0)</f>
        <v>9</v>
      </c>
      <c r="C11" s="75" t="s">
        <v>65</v>
      </c>
      <c r="D11" s="76" t="n">
        <v>1288280</v>
      </c>
      <c r="E11" s="77" t="s">
        <v>66</v>
      </c>
      <c r="F11" s="78" t="n">
        <v>74</v>
      </c>
      <c r="G11" s="78" t="n">
        <v>72</v>
      </c>
      <c r="H11" s="78" t="n">
        <v>85</v>
      </c>
      <c r="I11" s="79" t="n">
        <f aca="false">SUM(F11:H11)</f>
        <v>231</v>
      </c>
      <c r="J11" s="80"/>
      <c r="K11" s="81" t="s">
        <v>67</v>
      </c>
      <c r="L11" s="78" t="n">
        <v>80</v>
      </c>
      <c r="M11" s="78" t="n">
        <v>63</v>
      </c>
      <c r="N11" s="82" t="n">
        <v>72</v>
      </c>
      <c r="O11" s="83" t="n">
        <f aca="false">SUM(L11:N11)</f>
        <v>215</v>
      </c>
      <c r="P11" s="84"/>
      <c r="Q11" s="81" t="s">
        <v>68</v>
      </c>
      <c r="R11" s="78" t="n">
        <v>83</v>
      </c>
      <c r="S11" s="78" t="n">
        <v>79</v>
      </c>
      <c r="T11" s="82" t="n">
        <v>85</v>
      </c>
      <c r="U11" s="83" t="n">
        <f aca="false">SUM(R11:T11)</f>
        <v>247</v>
      </c>
      <c r="V11" s="84"/>
      <c r="W11" s="81" t="s">
        <v>69</v>
      </c>
      <c r="X11" s="78" t="n">
        <v>82</v>
      </c>
      <c r="Y11" s="78" t="n">
        <v>69</v>
      </c>
      <c r="Z11" s="82" t="n">
        <v>67</v>
      </c>
      <c r="AA11" s="83" t="n">
        <f aca="false">SUM(X11:Z11)</f>
        <v>218</v>
      </c>
      <c r="AB11" s="84"/>
      <c r="AC11" s="81" t="s">
        <v>70</v>
      </c>
      <c r="AD11" s="78" t="n">
        <v>84</v>
      </c>
      <c r="AE11" s="78" t="n">
        <v>87</v>
      </c>
      <c r="AF11" s="82" t="n">
        <v>84</v>
      </c>
      <c r="AG11" s="83" t="n">
        <f aca="false">SUM(AD11:AF11)</f>
        <v>255</v>
      </c>
      <c r="AH11" s="84"/>
      <c r="AI11" s="85" t="n">
        <f aca="false">SUM(I11+O11+U11+AA11+AG11)</f>
        <v>1166</v>
      </c>
      <c r="AJ11" s="86" t="n">
        <f aca="false">J11+P11+V11+AB11+AH11</f>
        <v>0</v>
      </c>
      <c r="AL11" s="72" t="n">
        <f aca="false">I11+O11+U11+AA11+AG11+(0.000001*(J11+P11+V11+AB11+AH11))+(0.000000001*(H11+N11+T11+Z11+AF11))+(0.000000000001*(G11+M11+S11+Y11+AE11))</f>
        <v>1166.00000039337</v>
      </c>
    </row>
    <row r="12" s="71" customFormat="true" ht="120" hidden="false" customHeight="true" outlineLevel="0" collapsed="false">
      <c r="A12" s="73" t="n">
        <v>6</v>
      </c>
      <c r="B12" s="74" t="n">
        <f aca="false">RANK(AL12,$AL$7:$AL$26,0)</f>
        <v>6</v>
      </c>
      <c r="C12" s="75" t="s">
        <v>71</v>
      </c>
      <c r="D12" s="76" t="n">
        <v>1288421</v>
      </c>
      <c r="E12" s="77" t="s">
        <v>72</v>
      </c>
      <c r="F12" s="78" t="n">
        <v>84</v>
      </c>
      <c r="G12" s="78" t="n">
        <v>88</v>
      </c>
      <c r="H12" s="78" t="n">
        <v>86</v>
      </c>
      <c r="I12" s="79" t="n">
        <f aca="false">SUM(F12:H12)</f>
        <v>258</v>
      </c>
      <c r="J12" s="80"/>
      <c r="K12" s="81" t="s">
        <v>73</v>
      </c>
      <c r="L12" s="78" t="n">
        <v>83</v>
      </c>
      <c r="M12" s="78" t="n">
        <v>88</v>
      </c>
      <c r="N12" s="82" t="n">
        <v>91</v>
      </c>
      <c r="O12" s="83" t="n">
        <f aca="false">SUM(L12:N12)</f>
        <v>262</v>
      </c>
      <c r="P12" s="84"/>
      <c r="Q12" s="81" t="s">
        <v>74</v>
      </c>
      <c r="R12" s="78" t="n">
        <v>83</v>
      </c>
      <c r="S12" s="78" t="n">
        <v>77</v>
      </c>
      <c r="T12" s="82" t="n">
        <v>89</v>
      </c>
      <c r="U12" s="83" t="n">
        <f aca="false">SUM(R12:T12)</f>
        <v>249</v>
      </c>
      <c r="V12" s="84"/>
      <c r="W12" s="81" t="s">
        <v>75</v>
      </c>
      <c r="X12" s="78" t="n">
        <v>85</v>
      </c>
      <c r="Y12" s="78" t="n">
        <v>89</v>
      </c>
      <c r="Z12" s="82" t="n">
        <v>81</v>
      </c>
      <c r="AA12" s="83" t="n">
        <f aca="false">SUM(X12:Z12)</f>
        <v>255</v>
      </c>
      <c r="AB12" s="84"/>
      <c r="AC12" s="81" t="s">
        <v>76</v>
      </c>
      <c r="AD12" s="78" t="n">
        <v>86</v>
      </c>
      <c r="AE12" s="78" t="n">
        <v>86</v>
      </c>
      <c r="AF12" s="82" t="n">
        <v>83</v>
      </c>
      <c r="AG12" s="83" t="n">
        <f aca="false">SUM(AD12:AF12)</f>
        <v>255</v>
      </c>
      <c r="AH12" s="84"/>
      <c r="AI12" s="85" t="n">
        <f aca="false">SUM(I12+O12+U12+AA12+AG12)</f>
        <v>1279</v>
      </c>
      <c r="AJ12" s="86" t="n">
        <f aca="false">J12+P12+V12+AB12+AH12</f>
        <v>0</v>
      </c>
      <c r="AL12" s="72" t="n">
        <f aca="false">I12+O12+U12+AA12+AG12+(0.000001*(J12+P12+V12+AB12+AH12))+(0.000000001*(H12+N12+T12+Z12+AF12))+(0.000000000001*(G12+M12+S12+Y12+AE12))</f>
        <v>1279.00000043043</v>
      </c>
    </row>
    <row r="13" s="71" customFormat="true" ht="120" hidden="false" customHeight="true" outlineLevel="0" collapsed="false">
      <c r="A13" s="73" t="n">
        <v>7</v>
      </c>
      <c r="B13" s="74" t="n">
        <f aca="false">RANK(AL13,$AL$7:$AL$26,0)</f>
        <v>2</v>
      </c>
      <c r="C13" s="75" t="s">
        <v>77</v>
      </c>
      <c r="D13" s="76" t="n">
        <v>1288402</v>
      </c>
      <c r="E13" s="77" t="s">
        <v>78</v>
      </c>
      <c r="F13" s="78" t="n">
        <v>85</v>
      </c>
      <c r="G13" s="78" t="n">
        <v>85</v>
      </c>
      <c r="H13" s="78" t="n">
        <v>81</v>
      </c>
      <c r="I13" s="79" t="n">
        <f aca="false">SUM(F13:H13)</f>
        <v>251</v>
      </c>
      <c r="J13" s="80"/>
      <c r="K13" s="81" t="s">
        <v>79</v>
      </c>
      <c r="L13" s="78" t="n">
        <v>91</v>
      </c>
      <c r="M13" s="78" t="n">
        <v>86</v>
      </c>
      <c r="N13" s="82" t="n">
        <v>86</v>
      </c>
      <c r="O13" s="83" t="n">
        <f aca="false">SUM(L13:N13)</f>
        <v>263</v>
      </c>
      <c r="P13" s="84"/>
      <c r="Q13" s="81" t="s">
        <v>80</v>
      </c>
      <c r="R13" s="78" t="n">
        <v>88</v>
      </c>
      <c r="S13" s="78" t="n">
        <v>82</v>
      </c>
      <c r="T13" s="82" t="n">
        <v>82</v>
      </c>
      <c r="U13" s="83" t="n">
        <f aca="false">SUM(R13:T13)</f>
        <v>252</v>
      </c>
      <c r="V13" s="84"/>
      <c r="W13" s="81" t="s">
        <v>81</v>
      </c>
      <c r="X13" s="78" t="n">
        <v>90</v>
      </c>
      <c r="Y13" s="78" t="n">
        <v>92</v>
      </c>
      <c r="Z13" s="82" t="n">
        <v>94</v>
      </c>
      <c r="AA13" s="83" t="n">
        <f aca="false">SUM(X13:Z13)</f>
        <v>276</v>
      </c>
      <c r="AB13" s="84"/>
      <c r="AC13" s="81" t="s">
        <v>82</v>
      </c>
      <c r="AD13" s="78" t="n">
        <v>90</v>
      </c>
      <c r="AE13" s="78" t="n">
        <v>92</v>
      </c>
      <c r="AF13" s="82" t="n">
        <v>88</v>
      </c>
      <c r="AG13" s="83" t="n">
        <f aca="false">SUM(AD13:AF13)</f>
        <v>270</v>
      </c>
      <c r="AH13" s="84"/>
      <c r="AI13" s="85" t="n">
        <f aca="false">SUM(I13+O13+U13+AA13+AG13)</f>
        <v>1312</v>
      </c>
      <c r="AJ13" s="86" t="n">
        <f aca="false">J13+P13+V13+AB13+AH13</f>
        <v>0</v>
      </c>
      <c r="AL13" s="72" t="n">
        <f aca="false">I13+O13+U13+AA13+AG13+(0.000001*(J13+P13+V13+AB13+AH13))+(0.000000001*(H13+N13+T13+Z13+AF13))+(0.000000000001*(G13+M13+S13+Y13+AE13))</f>
        <v>1312.00000043144</v>
      </c>
    </row>
    <row r="14" s="71" customFormat="true" ht="120" hidden="false" customHeight="true" outlineLevel="0" collapsed="false">
      <c r="A14" s="73" t="n">
        <v>8</v>
      </c>
      <c r="B14" s="74" t="n">
        <f aca="false">RANK(AL14,$AL$7:$AL$26,0)</f>
        <v>10</v>
      </c>
      <c r="C14" s="75" t="s">
        <v>83</v>
      </c>
      <c r="D14" s="76" t="n">
        <v>1288083</v>
      </c>
      <c r="E14" s="77" t="s">
        <v>84</v>
      </c>
      <c r="F14" s="78" t="n">
        <v>87</v>
      </c>
      <c r="G14" s="78" t="n">
        <v>88</v>
      </c>
      <c r="H14" s="78" t="n">
        <v>90</v>
      </c>
      <c r="I14" s="79" t="n">
        <f aca="false">SUM(F14:H14)</f>
        <v>265</v>
      </c>
      <c r="J14" s="80"/>
      <c r="K14" s="81" t="s">
        <v>85</v>
      </c>
      <c r="L14" s="78" t="n">
        <v>89</v>
      </c>
      <c r="M14" s="78" t="n">
        <v>87</v>
      </c>
      <c r="N14" s="82" t="n">
        <v>78</v>
      </c>
      <c r="O14" s="83" t="n">
        <f aca="false">SUM(L14:N14)</f>
        <v>254</v>
      </c>
      <c r="P14" s="84"/>
      <c r="Q14" s="81" t="s">
        <v>86</v>
      </c>
      <c r="R14" s="78" t="n">
        <v>83</v>
      </c>
      <c r="S14" s="78" t="n">
        <v>82</v>
      </c>
      <c r="T14" s="82" t="n">
        <v>84</v>
      </c>
      <c r="U14" s="83" t="n">
        <f aca="false">SUM(R14:T14)</f>
        <v>249</v>
      </c>
      <c r="V14" s="84"/>
      <c r="W14" s="81" t="s">
        <v>87</v>
      </c>
      <c r="X14" s="78"/>
      <c r="Y14" s="78"/>
      <c r="Z14" s="82"/>
      <c r="AA14" s="83" t="n">
        <f aca="false">SUM(X14:Z14)</f>
        <v>0</v>
      </c>
      <c r="AB14" s="84"/>
      <c r="AC14" s="81" t="s">
        <v>88</v>
      </c>
      <c r="AD14" s="78"/>
      <c r="AE14" s="78"/>
      <c r="AF14" s="82"/>
      <c r="AG14" s="83" t="n">
        <f aca="false">SUM(AD14:AF14)</f>
        <v>0</v>
      </c>
      <c r="AH14" s="84"/>
      <c r="AI14" s="85" t="n">
        <f aca="false">SUM(I14+O14+U14+AA14+AG14)</f>
        <v>768</v>
      </c>
      <c r="AJ14" s="86" t="n">
        <f aca="false">J14+P14+V14+AB14+AH14</f>
        <v>0</v>
      </c>
      <c r="AL14" s="72" t="n">
        <f aca="false">I14+O14+U14+AA14+AG14+(0.000001*(J14+P14+V14+AB14+AH14))+(0.000000001*(H14+N14+T14+Z14+AF14))+(0.000000000001*(G14+M14+S14+Y14+AE14))</f>
        <v>768.000000252257</v>
      </c>
    </row>
    <row r="15" s="71" customFormat="true" ht="120" hidden="false" customHeight="true" outlineLevel="0" collapsed="false">
      <c r="A15" s="73" t="n">
        <v>9</v>
      </c>
      <c r="B15" s="74" t="n">
        <f aca="false">RANK(AL15,$AL$7:$AL$26,0)</f>
        <v>4</v>
      </c>
      <c r="C15" s="75" t="s">
        <v>89</v>
      </c>
      <c r="D15" s="76" t="n">
        <v>1288139</v>
      </c>
      <c r="E15" s="77" t="s">
        <v>90</v>
      </c>
      <c r="F15" s="78" t="n">
        <v>86</v>
      </c>
      <c r="G15" s="78" t="n">
        <v>75</v>
      </c>
      <c r="H15" s="78" t="n">
        <v>74</v>
      </c>
      <c r="I15" s="79" t="n">
        <f aca="false">SUM(F15:H15)</f>
        <v>235</v>
      </c>
      <c r="J15" s="80"/>
      <c r="K15" s="81" t="s">
        <v>91</v>
      </c>
      <c r="L15" s="78" t="n">
        <v>94</v>
      </c>
      <c r="M15" s="78" t="n">
        <v>88</v>
      </c>
      <c r="N15" s="82" t="n">
        <v>84</v>
      </c>
      <c r="O15" s="83" t="n">
        <f aca="false">SUM(L15:N15)</f>
        <v>266</v>
      </c>
      <c r="P15" s="84"/>
      <c r="Q15" s="81" t="s">
        <v>92</v>
      </c>
      <c r="R15" s="78" t="n">
        <v>93</v>
      </c>
      <c r="S15" s="78" t="n">
        <v>87</v>
      </c>
      <c r="T15" s="82" t="n">
        <v>88</v>
      </c>
      <c r="U15" s="83" t="n">
        <f aca="false">SUM(R15:T15)</f>
        <v>268</v>
      </c>
      <c r="V15" s="84"/>
      <c r="W15" s="81" t="s">
        <v>93</v>
      </c>
      <c r="X15" s="78" t="n">
        <v>85</v>
      </c>
      <c r="Y15" s="78" t="n">
        <v>85</v>
      </c>
      <c r="Z15" s="82" t="n">
        <v>84</v>
      </c>
      <c r="AA15" s="83" t="n">
        <f aca="false">SUM(X15:Z15)</f>
        <v>254</v>
      </c>
      <c r="AB15" s="84"/>
      <c r="AC15" s="81" t="s">
        <v>94</v>
      </c>
      <c r="AD15" s="78" t="n">
        <v>91</v>
      </c>
      <c r="AE15" s="78" t="n">
        <v>88</v>
      </c>
      <c r="AF15" s="82" t="n">
        <v>90</v>
      </c>
      <c r="AG15" s="83" t="n">
        <f aca="false">SUM(AD15:AF15)</f>
        <v>269</v>
      </c>
      <c r="AH15" s="84"/>
      <c r="AI15" s="85" t="n">
        <f aca="false">SUM(I15+O15+U15+AA15+AG15)</f>
        <v>1292</v>
      </c>
      <c r="AJ15" s="86" t="n">
        <f aca="false">J15+P15+V15+AB15+AH15</f>
        <v>0</v>
      </c>
      <c r="AL15" s="72" t="n">
        <f aca="false">I15+O15+U15+AA15+AG15+(0.000001*(J15+P15+V15+AB15+AH15))+(0.000000001*(H15+N15+T15+Z15+AF15))+(0.000000000001*(G15+M15+S15+Y15+AE15))</f>
        <v>1292.00000042042</v>
      </c>
    </row>
    <row r="16" s="71" customFormat="true" ht="120" hidden="false" customHeight="true" outlineLevel="0" collapsed="false">
      <c r="A16" s="73" t="n">
        <v>10</v>
      </c>
      <c r="B16" s="74" t="n">
        <f aca="false">RANK(AL16,$AL$7:$AL$26,0)</f>
        <v>1</v>
      </c>
      <c r="C16" s="75" t="s">
        <v>95</v>
      </c>
      <c r="D16" s="76" t="n">
        <v>1288426</v>
      </c>
      <c r="E16" s="77" t="s">
        <v>96</v>
      </c>
      <c r="F16" s="78" t="n">
        <v>89</v>
      </c>
      <c r="G16" s="78" t="n">
        <v>94</v>
      </c>
      <c r="H16" s="78" t="n">
        <v>87</v>
      </c>
      <c r="I16" s="79" t="n">
        <f aca="false">SUM(F16:H16)</f>
        <v>270</v>
      </c>
      <c r="J16" s="80"/>
      <c r="K16" s="81" t="s">
        <v>97</v>
      </c>
      <c r="L16" s="78" t="n">
        <v>91</v>
      </c>
      <c r="M16" s="78" t="n">
        <v>91</v>
      </c>
      <c r="N16" s="82" t="n">
        <v>90</v>
      </c>
      <c r="O16" s="83" t="n">
        <f aca="false">SUM(L16:N16)</f>
        <v>272</v>
      </c>
      <c r="P16" s="84"/>
      <c r="Q16" s="81" t="s">
        <v>98</v>
      </c>
      <c r="R16" s="78" t="n">
        <v>80</v>
      </c>
      <c r="S16" s="78" t="n">
        <v>79</v>
      </c>
      <c r="T16" s="82" t="n">
        <v>83</v>
      </c>
      <c r="U16" s="83" t="n">
        <f aca="false">SUM(R16:T16)</f>
        <v>242</v>
      </c>
      <c r="V16" s="84"/>
      <c r="W16" s="81" t="s">
        <v>99</v>
      </c>
      <c r="X16" s="78" t="n">
        <v>89</v>
      </c>
      <c r="Y16" s="78" t="n">
        <v>95</v>
      </c>
      <c r="Z16" s="82" t="n">
        <v>90</v>
      </c>
      <c r="AA16" s="83" t="n">
        <f aca="false">SUM(X16:Z16)</f>
        <v>274</v>
      </c>
      <c r="AB16" s="84"/>
      <c r="AC16" s="81" t="s">
        <v>100</v>
      </c>
      <c r="AD16" s="78" t="n">
        <v>92</v>
      </c>
      <c r="AE16" s="78" t="n">
        <v>90</v>
      </c>
      <c r="AF16" s="82" t="n">
        <v>91</v>
      </c>
      <c r="AG16" s="83" t="n">
        <f aca="false">SUM(AD16:AF16)</f>
        <v>273</v>
      </c>
      <c r="AH16" s="84"/>
      <c r="AI16" s="85" t="n">
        <f aca="false">SUM(I16+O16+U16+AA16+AG16)</f>
        <v>1331</v>
      </c>
      <c r="AJ16" s="86" t="n">
        <f aca="false">J16+P16+V16+AB16+AH16</f>
        <v>0</v>
      </c>
      <c r="AL16" s="72" t="n">
        <f aca="false">I16+O16+U16+AA16+AG16+(0.000001*(J16+P16+V16+AB16+AH16))+(0.000000001*(H16+N16+T16+Z16+AF16))+(0.000000000001*(G16+M16+S16+Y16+AE16))</f>
        <v>1331.00000044145</v>
      </c>
    </row>
    <row r="17" s="71" customFormat="true" ht="120" hidden="false" customHeight="true" outlineLevel="0" collapsed="false">
      <c r="A17" s="73" t="n">
        <v>11</v>
      </c>
      <c r="B17" s="74" t="n">
        <f aca="false">RANK(AL17,$AL$7:$AL$26,0)</f>
        <v>11</v>
      </c>
      <c r="C17" s="75"/>
      <c r="D17" s="76"/>
      <c r="E17" s="77"/>
      <c r="F17" s="78"/>
      <c r="G17" s="78"/>
      <c r="H17" s="78"/>
      <c r="I17" s="79" t="n">
        <f aca="false">SUM(F17:H17)</f>
        <v>0</v>
      </c>
      <c r="J17" s="80"/>
      <c r="K17" s="81"/>
      <c r="L17" s="78"/>
      <c r="M17" s="78"/>
      <c r="N17" s="82"/>
      <c r="O17" s="83" t="n">
        <f aca="false">SUM(L17:N17)</f>
        <v>0</v>
      </c>
      <c r="P17" s="84"/>
      <c r="Q17" s="81"/>
      <c r="R17" s="78"/>
      <c r="S17" s="78"/>
      <c r="T17" s="82"/>
      <c r="U17" s="83" t="n">
        <f aca="false">SUM(R17:T17)</f>
        <v>0</v>
      </c>
      <c r="V17" s="84"/>
      <c r="W17" s="81"/>
      <c r="X17" s="78"/>
      <c r="Y17" s="78"/>
      <c r="Z17" s="82"/>
      <c r="AA17" s="83" t="n">
        <f aca="false">SUM(X17:Z17)</f>
        <v>0</v>
      </c>
      <c r="AB17" s="84"/>
      <c r="AC17" s="81"/>
      <c r="AD17" s="78"/>
      <c r="AE17" s="78"/>
      <c r="AF17" s="82"/>
      <c r="AG17" s="83" t="n">
        <f aca="false">SUM(AD17:AF17)</f>
        <v>0</v>
      </c>
      <c r="AH17" s="84"/>
      <c r="AI17" s="85" t="n">
        <f aca="false">SUM(I17+O17+U17+AA17+AG17)</f>
        <v>0</v>
      </c>
      <c r="AJ17" s="86" t="n">
        <f aca="false">J17+P17+V17+AB17+AH17</f>
        <v>0</v>
      </c>
      <c r="AL17" s="72" t="n">
        <f aca="false">I17+O17+U17+AA17+AG17+(0.000001*(J17+P17+V17+AB17+AH17))+(0.000000001*(H17+N17+T17+Z17+AF17))+(0.000000000001*(G17+M17+S17+Y17+AE17))</f>
        <v>0</v>
      </c>
    </row>
    <row r="18" s="71" customFormat="true" ht="120" hidden="false" customHeight="true" outlineLevel="0" collapsed="false">
      <c r="A18" s="73" t="n">
        <v>12</v>
      </c>
      <c r="B18" s="74" t="n">
        <f aca="false">RANK(AL18,$AL$7:$AL$26,0)</f>
        <v>11</v>
      </c>
      <c r="C18" s="75"/>
      <c r="D18" s="76"/>
      <c r="E18" s="77"/>
      <c r="F18" s="78"/>
      <c r="G18" s="78"/>
      <c r="H18" s="78"/>
      <c r="I18" s="79" t="n">
        <f aca="false">SUM(F18:H18)</f>
        <v>0</v>
      </c>
      <c r="J18" s="80"/>
      <c r="K18" s="81"/>
      <c r="L18" s="78"/>
      <c r="M18" s="78"/>
      <c r="N18" s="82"/>
      <c r="O18" s="83" t="n">
        <f aca="false">SUM(L18:N18)</f>
        <v>0</v>
      </c>
      <c r="P18" s="84"/>
      <c r="Q18" s="81"/>
      <c r="R18" s="78"/>
      <c r="S18" s="78"/>
      <c r="T18" s="82"/>
      <c r="U18" s="83" t="n">
        <f aca="false">SUM(R18:T18)</f>
        <v>0</v>
      </c>
      <c r="V18" s="84"/>
      <c r="W18" s="81"/>
      <c r="X18" s="78"/>
      <c r="Y18" s="78"/>
      <c r="Z18" s="82"/>
      <c r="AA18" s="83" t="n">
        <f aca="false">SUM(X18:Z18)</f>
        <v>0</v>
      </c>
      <c r="AB18" s="84"/>
      <c r="AC18" s="81"/>
      <c r="AD18" s="78"/>
      <c r="AE18" s="78"/>
      <c r="AF18" s="82"/>
      <c r="AG18" s="83" t="n">
        <f aca="false">SUM(AD18:AF18)</f>
        <v>0</v>
      </c>
      <c r="AH18" s="84"/>
      <c r="AI18" s="85" t="n">
        <f aca="false">SUM(I18+O18+U18+AA18+AG18)</f>
        <v>0</v>
      </c>
      <c r="AJ18" s="86" t="n">
        <f aca="false">J18+P18+V18+AB18+AH18</f>
        <v>0</v>
      </c>
      <c r="AL18" s="72" t="n">
        <f aca="false">I18+O18+U18+AA18+AG18+(0.000001*(J18+P18+V18+AB18+AH18))+(0.000000001*(H18+N18+T18+Z18+AF18))+(0.000000000001*(G18+M18+S18+Y18+AE18))</f>
        <v>0</v>
      </c>
    </row>
    <row r="19" s="71" customFormat="true" ht="120" hidden="false" customHeight="true" outlineLevel="0" collapsed="false">
      <c r="A19" s="73" t="n">
        <v>13</v>
      </c>
      <c r="B19" s="74" t="n">
        <f aca="false">RANK(AL19,$AL$7:$AL$26,0)</f>
        <v>11</v>
      </c>
      <c r="C19" s="75"/>
      <c r="D19" s="76"/>
      <c r="E19" s="77"/>
      <c r="F19" s="78"/>
      <c r="G19" s="78"/>
      <c r="H19" s="78"/>
      <c r="I19" s="79" t="n">
        <f aca="false">SUM(F19:H19)</f>
        <v>0</v>
      </c>
      <c r="J19" s="80"/>
      <c r="K19" s="81"/>
      <c r="L19" s="78"/>
      <c r="M19" s="78"/>
      <c r="N19" s="82"/>
      <c r="O19" s="83" t="n">
        <f aca="false">SUM(L19:N19)</f>
        <v>0</v>
      </c>
      <c r="P19" s="84"/>
      <c r="Q19" s="81"/>
      <c r="R19" s="78"/>
      <c r="S19" s="78"/>
      <c r="T19" s="82"/>
      <c r="U19" s="83" t="n">
        <f aca="false">SUM(R19:T19)</f>
        <v>0</v>
      </c>
      <c r="V19" s="84"/>
      <c r="W19" s="81"/>
      <c r="X19" s="78"/>
      <c r="Y19" s="78"/>
      <c r="Z19" s="82"/>
      <c r="AA19" s="83" t="n">
        <f aca="false">SUM(X19:Z19)</f>
        <v>0</v>
      </c>
      <c r="AB19" s="84"/>
      <c r="AC19" s="81"/>
      <c r="AD19" s="78"/>
      <c r="AE19" s="78"/>
      <c r="AF19" s="82"/>
      <c r="AG19" s="83" t="n">
        <f aca="false">SUM(AD19:AF19)</f>
        <v>0</v>
      </c>
      <c r="AH19" s="84"/>
      <c r="AI19" s="85" t="n">
        <f aca="false">SUM(I19+O19+U19+AA19+AG19)</f>
        <v>0</v>
      </c>
      <c r="AJ19" s="86" t="n">
        <f aca="false">J19+P19+V19+AB19+AH19</f>
        <v>0</v>
      </c>
      <c r="AL19" s="72" t="n">
        <f aca="false">I19+O19+U19+AA19+AG19+(0.000001*(J19+P19+V19+AB19+AH19))+(0.000000001*(H19+N19+T19+Z19+AF19))+(0.000000000001*(G19+M19+S19+Y19+AE19))</f>
        <v>0</v>
      </c>
    </row>
    <row r="20" s="71" customFormat="true" ht="120" hidden="false" customHeight="true" outlineLevel="0" collapsed="false">
      <c r="A20" s="73" t="n">
        <v>14</v>
      </c>
      <c r="B20" s="74" t="n">
        <f aca="false">RANK(AL20,$AL$7:$AL$26,0)</f>
        <v>11</v>
      </c>
      <c r="C20" s="75"/>
      <c r="D20" s="76"/>
      <c r="E20" s="77"/>
      <c r="F20" s="78"/>
      <c r="G20" s="78"/>
      <c r="H20" s="78"/>
      <c r="I20" s="79" t="n">
        <f aca="false">SUM(F20:H20)</f>
        <v>0</v>
      </c>
      <c r="J20" s="80"/>
      <c r="K20" s="81"/>
      <c r="L20" s="78"/>
      <c r="M20" s="78"/>
      <c r="N20" s="82"/>
      <c r="O20" s="83" t="n">
        <f aca="false">SUM(L20:N20)</f>
        <v>0</v>
      </c>
      <c r="P20" s="84"/>
      <c r="Q20" s="81"/>
      <c r="R20" s="78"/>
      <c r="S20" s="78"/>
      <c r="T20" s="82"/>
      <c r="U20" s="83" t="n">
        <f aca="false">SUM(R20:T20)</f>
        <v>0</v>
      </c>
      <c r="V20" s="84"/>
      <c r="W20" s="81"/>
      <c r="X20" s="78"/>
      <c r="Y20" s="78"/>
      <c r="Z20" s="82"/>
      <c r="AA20" s="83" t="n">
        <f aca="false">SUM(X20:Z20)</f>
        <v>0</v>
      </c>
      <c r="AB20" s="84"/>
      <c r="AC20" s="81"/>
      <c r="AD20" s="78"/>
      <c r="AE20" s="78"/>
      <c r="AF20" s="82"/>
      <c r="AG20" s="83" t="n">
        <f aca="false">SUM(AD20:AF20)</f>
        <v>0</v>
      </c>
      <c r="AH20" s="84"/>
      <c r="AI20" s="85" t="n">
        <f aca="false">SUM(I20+O20+U20+AA20+AG20)</f>
        <v>0</v>
      </c>
      <c r="AJ20" s="86" t="n">
        <f aca="false">J20+P20+V20+AB20+AH20</f>
        <v>0</v>
      </c>
      <c r="AL20" s="72" t="n">
        <f aca="false">I20+O20+U20+AA20+AG20+(0.000001*(J20+P20+V20+AB20+AH20))+(0.000000001*(H20+N20+T20+Z20+AF20))+(0.000000000001*(G20+M20+S20+Y20+AE20))</f>
        <v>0</v>
      </c>
    </row>
    <row r="21" s="71" customFormat="true" ht="120" hidden="false" customHeight="true" outlineLevel="0" collapsed="false">
      <c r="A21" s="73" t="n">
        <v>15</v>
      </c>
      <c r="B21" s="74" t="n">
        <f aca="false">RANK(AL21,$AL$7:$AL$26,0)</f>
        <v>11</v>
      </c>
      <c r="C21" s="75"/>
      <c r="D21" s="76"/>
      <c r="E21" s="77"/>
      <c r="F21" s="78"/>
      <c r="G21" s="78"/>
      <c r="H21" s="78"/>
      <c r="I21" s="79" t="n">
        <f aca="false">SUM(F21:H21)</f>
        <v>0</v>
      </c>
      <c r="J21" s="80"/>
      <c r="K21" s="81"/>
      <c r="L21" s="78"/>
      <c r="M21" s="78"/>
      <c r="N21" s="82"/>
      <c r="O21" s="83" t="n">
        <f aca="false">SUM(L21:N21)</f>
        <v>0</v>
      </c>
      <c r="P21" s="84"/>
      <c r="Q21" s="81"/>
      <c r="R21" s="78"/>
      <c r="S21" s="78"/>
      <c r="T21" s="82"/>
      <c r="U21" s="83" t="n">
        <f aca="false">SUM(R21:T21)</f>
        <v>0</v>
      </c>
      <c r="V21" s="84"/>
      <c r="W21" s="81"/>
      <c r="X21" s="78"/>
      <c r="Y21" s="78"/>
      <c r="Z21" s="82"/>
      <c r="AA21" s="83" t="n">
        <f aca="false">SUM(X21:Z21)</f>
        <v>0</v>
      </c>
      <c r="AB21" s="84"/>
      <c r="AC21" s="81"/>
      <c r="AD21" s="78"/>
      <c r="AE21" s="78"/>
      <c r="AF21" s="82"/>
      <c r="AG21" s="83" t="n">
        <f aca="false">SUM(AD21:AF21)</f>
        <v>0</v>
      </c>
      <c r="AH21" s="84"/>
      <c r="AI21" s="85" t="n">
        <f aca="false">SUM(I21+O21+U21+AA21+AG21)</f>
        <v>0</v>
      </c>
      <c r="AJ21" s="86" t="n">
        <f aca="false">J21+P21+V21+AB21+AH21</f>
        <v>0</v>
      </c>
      <c r="AL21" s="72" t="n">
        <f aca="false">I21+O21+U21+AA21+AG21+(0.000001*(J21+P21+V21+AB21+AH21))+(0.000000001*(H21+N21+T21+Z21+AF21))+(0.000000000001*(G21+M21+S21+Y21+AE21))</f>
        <v>0</v>
      </c>
    </row>
    <row r="22" s="71" customFormat="true" ht="120" hidden="false" customHeight="true" outlineLevel="0" collapsed="false">
      <c r="A22" s="73" t="n">
        <v>16</v>
      </c>
      <c r="B22" s="74" t="n">
        <f aca="false">RANK(AL22,$AL$7:$AL$26,0)</f>
        <v>11</v>
      </c>
      <c r="C22" s="75"/>
      <c r="D22" s="76"/>
      <c r="E22" s="77"/>
      <c r="F22" s="78"/>
      <c r="G22" s="78"/>
      <c r="H22" s="78"/>
      <c r="I22" s="79" t="n">
        <f aca="false">SUM(F22:H22)</f>
        <v>0</v>
      </c>
      <c r="J22" s="80"/>
      <c r="K22" s="81"/>
      <c r="L22" s="78"/>
      <c r="M22" s="78"/>
      <c r="N22" s="82"/>
      <c r="O22" s="83" t="n">
        <f aca="false">SUM(L22:N22)</f>
        <v>0</v>
      </c>
      <c r="P22" s="84"/>
      <c r="Q22" s="81"/>
      <c r="R22" s="78"/>
      <c r="S22" s="78"/>
      <c r="T22" s="82"/>
      <c r="U22" s="83" t="n">
        <f aca="false">SUM(R22:T22)</f>
        <v>0</v>
      </c>
      <c r="V22" s="84"/>
      <c r="W22" s="81"/>
      <c r="X22" s="78"/>
      <c r="Y22" s="78"/>
      <c r="Z22" s="82"/>
      <c r="AA22" s="83" t="n">
        <f aca="false">SUM(X22:Z22)</f>
        <v>0</v>
      </c>
      <c r="AB22" s="84"/>
      <c r="AC22" s="81"/>
      <c r="AD22" s="78"/>
      <c r="AE22" s="78"/>
      <c r="AF22" s="82"/>
      <c r="AG22" s="83" t="n">
        <f aca="false">SUM(AD22:AF22)</f>
        <v>0</v>
      </c>
      <c r="AH22" s="84"/>
      <c r="AI22" s="85" t="n">
        <f aca="false">SUM(I22+O22+U22+AA22+AG22)</f>
        <v>0</v>
      </c>
      <c r="AJ22" s="86" t="n">
        <f aca="false">J22+P22+V22+AB22+AH22</f>
        <v>0</v>
      </c>
      <c r="AL22" s="72" t="n">
        <f aca="false">I22+O22+U22+AA22+AG22+(0.000001*(J22+P22+V22+AB22+AH22))+(0.000000001*(H22+N22+T22+Z22+AF22))+(0.000000000001*(G22+M22+S22+Y22+AE22))</f>
        <v>0</v>
      </c>
    </row>
    <row r="23" s="71" customFormat="true" ht="120" hidden="false" customHeight="true" outlineLevel="0" collapsed="false">
      <c r="A23" s="73" t="n">
        <v>17</v>
      </c>
      <c r="B23" s="74" t="n">
        <f aca="false">RANK(AL23,$AL$7:$AL$26,0)</f>
        <v>11</v>
      </c>
      <c r="C23" s="75"/>
      <c r="D23" s="76"/>
      <c r="E23" s="77"/>
      <c r="F23" s="78"/>
      <c r="G23" s="78"/>
      <c r="H23" s="78"/>
      <c r="I23" s="79" t="n">
        <f aca="false">SUM(F23:H23)</f>
        <v>0</v>
      </c>
      <c r="J23" s="80"/>
      <c r="K23" s="81"/>
      <c r="L23" s="78"/>
      <c r="M23" s="78"/>
      <c r="N23" s="82"/>
      <c r="O23" s="83" t="n">
        <f aca="false">SUM(L23:N23)</f>
        <v>0</v>
      </c>
      <c r="P23" s="84"/>
      <c r="Q23" s="81"/>
      <c r="R23" s="78"/>
      <c r="S23" s="78"/>
      <c r="T23" s="82"/>
      <c r="U23" s="83" t="n">
        <f aca="false">SUM(R23:T23)</f>
        <v>0</v>
      </c>
      <c r="V23" s="84"/>
      <c r="W23" s="81"/>
      <c r="X23" s="78"/>
      <c r="Y23" s="78"/>
      <c r="Z23" s="82"/>
      <c r="AA23" s="83" t="n">
        <f aca="false">SUM(X23:Z23)</f>
        <v>0</v>
      </c>
      <c r="AB23" s="84"/>
      <c r="AC23" s="81"/>
      <c r="AD23" s="78"/>
      <c r="AE23" s="78"/>
      <c r="AF23" s="82"/>
      <c r="AG23" s="83" t="n">
        <f aca="false">SUM(AD23:AF23)</f>
        <v>0</v>
      </c>
      <c r="AH23" s="84"/>
      <c r="AI23" s="85" t="n">
        <f aca="false">SUM(I23+O23+U23+AA23+AG23)</f>
        <v>0</v>
      </c>
      <c r="AJ23" s="86" t="n">
        <f aca="false">J23+P23+V23+AB23+AH23</f>
        <v>0</v>
      </c>
      <c r="AL23" s="72" t="n">
        <f aca="false">I23+O23+U23+AA23+AG23+(0.000001*(J23+P23+V23+AB23+AH23))+(0.000000001*(H23+N23+T23+Z23+AF23))+(0.000000000001*(G23+M23+S23+Y23+AE23))</f>
        <v>0</v>
      </c>
    </row>
    <row r="24" s="71" customFormat="true" ht="120" hidden="false" customHeight="true" outlineLevel="0" collapsed="false">
      <c r="A24" s="73" t="n">
        <v>18</v>
      </c>
      <c r="B24" s="74" t="n">
        <f aca="false">RANK(AL24,$AL$7:$AL$26,0)</f>
        <v>11</v>
      </c>
      <c r="C24" s="75"/>
      <c r="D24" s="76"/>
      <c r="E24" s="77"/>
      <c r="F24" s="78"/>
      <c r="G24" s="78"/>
      <c r="H24" s="78"/>
      <c r="I24" s="79" t="n">
        <f aca="false">SUM(F24:H24)</f>
        <v>0</v>
      </c>
      <c r="J24" s="80"/>
      <c r="K24" s="81"/>
      <c r="L24" s="78"/>
      <c r="M24" s="78"/>
      <c r="N24" s="82"/>
      <c r="O24" s="83" t="n">
        <f aca="false">SUM(L24:N24)</f>
        <v>0</v>
      </c>
      <c r="P24" s="84"/>
      <c r="Q24" s="81"/>
      <c r="R24" s="78"/>
      <c r="S24" s="78"/>
      <c r="T24" s="82"/>
      <c r="U24" s="83" t="n">
        <f aca="false">SUM(R24:T24)</f>
        <v>0</v>
      </c>
      <c r="V24" s="84"/>
      <c r="W24" s="81"/>
      <c r="X24" s="78"/>
      <c r="Y24" s="78"/>
      <c r="Z24" s="82"/>
      <c r="AA24" s="83" t="n">
        <f aca="false">SUM(X24:Z24)</f>
        <v>0</v>
      </c>
      <c r="AB24" s="84"/>
      <c r="AC24" s="81"/>
      <c r="AD24" s="78"/>
      <c r="AE24" s="78"/>
      <c r="AF24" s="82"/>
      <c r="AG24" s="83" t="n">
        <f aca="false">SUM(AD24:AF24)</f>
        <v>0</v>
      </c>
      <c r="AH24" s="84"/>
      <c r="AI24" s="85" t="n">
        <f aca="false">SUM(I24+O24+U24+AA24+AG24)</f>
        <v>0</v>
      </c>
      <c r="AJ24" s="86" t="n">
        <f aca="false">J24+P24+V24+AB24+AH24</f>
        <v>0</v>
      </c>
      <c r="AL24" s="72" t="n">
        <f aca="false">I24+O24+U24+AA24+AG24+(0.000001*(J24+P24+V24+AB24+AH24))+(0.000000001*(H24+N24+T24+Z24+AF24))+(0.000000000001*(G24+M24+S24+Y24+AE24))</f>
        <v>0</v>
      </c>
    </row>
    <row r="25" s="71" customFormat="true" ht="120" hidden="false" customHeight="true" outlineLevel="0" collapsed="false">
      <c r="A25" s="73" t="n">
        <v>19</v>
      </c>
      <c r="B25" s="74" t="n">
        <f aca="false">RANK(AL25,$AL$7:$AL$26,0)</f>
        <v>11</v>
      </c>
      <c r="C25" s="75"/>
      <c r="D25" s="76"/>
      <c r="E25" s="77"/>
      <c r="F25" s="78"/>
      <c r="G25" s="78"/>
      <c r="H25" s="78"/>
      <c r="I25" s="79" t="n">
        <f aca="false">SUM(F25:H25)</f>
        <v>0</v>
      </c>
      <c r="J25" s="80"/>
      <c r="K25" s="81"/>
      <c r="L25" s="78"/>
      <c r="M25" s="78"/>
      <c r="N25" s="82"/>
      <c r="O25" s="83" t="n">
        <f aca="false">SUM(L25:N25)</f>
        <v>0</v>
      </c>
      <c r="P25" s="84"/>
      <c r="Q25" s="81"/>
      <c r="R25" s="78"/>
      <c r="S25" s="78"/>
      <c r="T25" s="82"/>
      <c r="U25" s="83" t="n">
        <f aca="false">SUM(R25:T25)</f>
        <v>0</v>
      </c>
      <c r="V25" s="84"/>
      <c r="W25" s="81"/>
      <c r="X25" s="78"/>
      <c r="Y25" s="78"/>
      <c r="Z25" s="82"/>
      <c r="AA25" s="83" t="n">
        <f aca="false">SUM(X25:Z25)</f>
        <v>0</v>
      </c>
      <c r="AB25" s="84"/>
      <c r="AC25" s="81"/>
      <c r="AD25" s="78"/>
      <c r="AE25" s="78"/>
      <c r="AF25" s="82"/>
      <c r="AG25" s="83" t="n">
        <f aca="false">SUM(AD25:AF25)</f>
        <v>0</v>
      </c>
      <c r="AH25" s="84"/>
      <c r="AI25" s="85" t="n">
        <f aca="false">SUM(I25+O25+U25+AA25+AG25)</f>
        <v>0</v>
      </c>
      <c r="AJ25" s="86" t="n">
        <f aca="false">J25+P25+V25+AB25+AH25</f>
        <v>0</v>
      </c>
      <c r="AL25" s="72" t="n">
        <f aca="false">I25+O25+U25+AA25+AG25+(0.000001*(J25+P25+V25+AB25+AH25))+(0.000000001*(H25+N25+T25+Z25+AF25))+(0.000000000001*(G25+M25+S25+Y25+AE25))</f>
        <v>0</v>
      </c>
    </row>
    <row r="26" s="71" customFormat="true" ht="120" hidden="false" customHeight="true" outlineLevel="0" collapsed="false">
      <c r="A26" s="55" t="n">
        <v>20</v>
      </c>
      <c r="B26" s="87" t="n">
        <f aca="false">RANK(AL26,$AL$7:$AL$26,0)</f>
        <v>11</v>
      </c>
      <c r="C26" s="88"/>
      <c r="D26" s="89"/>
      <c r="E26" s="90"/>
      <c r="F26" s="91"/>
      <c r="G26" s="91"/>
      <c r="H26" s="91"/>
      <c r="I26" s="92" t="n">
        <f aca="false">SUM(F26:H26)</f>
        <v>0</v>
      </c>
      <c r="J26" s="93"/>
      <c r="K26" s="94"/>
      <c r="L26" s="91"/>
      <c r="M26" s="91"/>
      <c r="N26" s="95"/>
      <c r="O26" s="96" t="n">
        <f aca="false">SUM(L26:N26)</f>
        <v>0</v>
      </c>
      <c r="P26" s="97"/>
      <c r="Q26" s="94"/>
      <c r="R26" s="91"/>
      <c r="S26" s="91"/>
      <c r="T26" s="95"/>
      <c r="U26" s="96" t="n">
        <f aca="false">SUM(R26:T26)</f>
        <v>0</v>
      </c>
      <c r="V26" s="97"/>
      <c r="W26" s="94"/>
      <c r="X26" s="91"/>
      <c r="Y26" s="91"/>
      <c r="Z26" s="95"/>
      <c r="AA26" s="96" t="n">
        <f aca="false">SUM(X26:Z26)</f>
        <v>0</v>
      </c>
      <c r="AB26" s="97"/>
      <c r="AC26" s="94"/>
      <c r="AD26" s="91"/>
      <c r="AE26" s="91"/>
      <c r="AF26" s="95"/>
      <c r="AG26" s="96" t="n">
        <f aca="false">SUM(AD26:AF26)</f>
        <v>0</v>
      </c>
      <c r="AH26" s="97"/>
      <c r="AI26" s="98" t="n">
        <f aca="false">SUM(I26+O26+U26+AA26+AG26)</f>
        <v>0</v>
      </c>
      <c r="AJ26" s="99" t="n">
        <f aca="false">J26+P26+V26+AB26+AH26</f>
        <v>0</v>
      </c>
      <c r="AL26" s="72" t="n">
        <f aca="false">I26+O26+U26+AA26+AG26+(0.000001*(J26+P26+V26+AB26+AH26))+(0.000000001*(H26+N26+T26+Z26+AF26))+(0.000000000001*(G26+M26+S26+Y26+AE26))</f>
        <v>0</v>
      </c>
    </row>
    <row r="27" customFormat="false" ht="46" hidden="false" customHeight="false" outlineLevel="0" collapsed="false"/>
  </sheetData>
  <mergeCells count="24">
    <mergeCell ref="A1:AC2"/>
    <mergeCell ref="A3:AJ4"/>
    <mergeCell ref="A5:A6"/>
    <mergeCell ref="B5:B6"/>
    <mergeCell ref="C5:C6"/>
    <mergeCell ref="D5:D6"/>
    <mergeCell ref="F5:H5"/>
    <mergeCell ref="I5:I6"/>
    <mergeCell ref="J5:J6"/>
    <mergeCell ref="L5:N5"/>
    <mergeCell ref="O5:O6"/>
    <mergeCell ref="P5:P6"/>
    <mergeCell ref="R5:T5"/>
    <mergeCell ref="U5:U6"/>
    <mergeCell ref="V5:V6"/>
    <mergeCell ref="X5:Z5"/>
    <mergeCell ref="AA5:AA6"/>
    <mergeCell ref="AB5:AB6"/>
    <mergeCell ref="AD5:AF5"/>
    <mergeCell ref="AG5:AG6"/>
    <mergeCell ref="AH5:AH6"/>
    <mergeCell ref="AI5:AI6"/>
    <mergeCell ref="AJ5:AJ6"/>
    <mergeCell ref="AL5:AL6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K4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2:E16 A1"/>
    </sheetView>
  </sheetViews>
  <sheetFormatPr defaultRowHeight="45" zeroHeight="false" outlineLevelRow="0" outlineLevelCol="0"/>
  <cols>
    <col collapsed="false" customWidth="true" hidden="false" outlineLevel="0" max="1" min="1" style="100" width="15.5"/>
    <col collapsed="false" customWidth="true" hidden="false" outlineLevel="0" max="2" min="2" style="101" width="62.16"/>
    <col collapsed="false" customWidth="true" hidden="false" outlineLevel="0" max="3" min="3" style="101" width="24"/>
    <col collapsed="false" customWidth="true" hidden="false" outlineLevel="0" max="4" min="4" style="101" width="54.17"/>
    <col collapsed="false" customWidth="true" hidden="false" outlineLevel="0" max="5" min="5" style="101" width="18.33"/>
    <col collapsed="false" customWidth="true" hidden="false" outlineLevel="0" max="7" min="6" style="101" width="18"/>
    <col collapsed="false" customWidth="true" hidden="false" outlineLevel="0" max="8" min="8" style="102" width="18.33"/>
    <col collapsed="false" customWidth="true" hidden="true" outlineLevel="0" max="9" min="9" style="102" width="10.66"/>
    <col collapsed="false" customWidth="true" hidden="false" outlineLevel="0" max="10" min="10" style="101" width="48.33"/>
    <col collapsed="false" customWidth="true" hidden="false" outlineLevel="0" max="11" min="11" style="101" width="18"/>
    <col collapsed="false" customWidth="true" hidden="false" outlineLevel="0" max="12" min="12" style="101" width="18.33"/>
    <col collapsed="false" customWidth="true" hidden="false" outlineLevel="0" max="13" min="13" style="101" width="17.5"/>
    <col collapsed="false" customWidth="true" hidden="false" outlineLevel="0" max="14" min="14" style="102" width="16.83"/>
    <col collapsed="false" customWidth="true" hidden="true" outlineLevel="0" max="15" min="15" style="102" width="10.66"/>
    <col collapsed="false" customWidth="true" hidden="false" outlineLevel="0" max="16" min="16" style="101" width="62.16"/>
    <col collapsed="false" customWidth="true" hidden="false" outlineLevel="0" max="17" min="17" style="101" width="18.33"/>
    <col collapsed="false" customWidth="true" hidden="false" outlineLevel="0" max="18" min="18" style="101" width="15.66"/>
    <col collapsed="false" customWidth="true" hidden="false" outlineLevel="0" max="19" min="19" style="101" width="17.5"/>
    <col collapsed="false" customWidth="true" hidden="false" outlineLevel="0" max="20" min="20" style="102" width="16.5"/>
    <col collapsed="false" customWidth="true" hidden="true" outlineLevel="0" max="21" min="21" style="102" width="10.66"/>
    <col collapsed="false" customWidth="true" hidden="false" outlineLevel="0" max="22" min="22" style="101" width="63.16"/>
    <col collapsed="false" customWidth="true" hidden="false" outlineLevel="0" max="23" min="23" style="101" width="18.33"/>
    <col collapsed="false" customWidth="true" hidden="false" outlineLevel="0" max="24" min="24" style="101" width="17.5"/>
    <col collapsed="false" customWidth="true" hidden="false" outlineLevel="0" max="25" min="25" style="101" width="18.66"/>
    <col collapsed="false" customWidth="true" hidden="false" outlineLevel="0" max="26" min="26" style="102" width="16.83"/>
    <col collapsed="false" customWidth="true" hidden="true" outlineLevel="0" max="27" min="27" style="102" width="10.66"/>
    <col collapsed="false" customWidth="true" hidden="false" outlineLevel="0" max="28" min="28" style="103" width="49"/>
    <col collapsed="false" customWidth="true" hidden="false" outlineLevel="0" max="29" min="29" style="103" width="17.5"/>
    <col collapsed="false" customWidth="true" hidden="false" outlineLevel="0" max="30" min="30" style="103" width="14.66"/>
    <col collapsed="false" customWidth="true" hidden="false" outlineLevel="0" max="31" min="31" style="103" width="17.17"/>
    <col collapsed="false" customWidth="true" hidden="false" outlineLevel="0" max="32" min="32" style="102" width="16.5"/>
    <col collapsed="false" customWidth="true" hidden="true" outlineLevel="0" max="33" min="33" style="102" width="10.83"/>
    <col collapsed="false" customWidth="true" hidden="false" outlineLevel="0" max="34" min="34" style="102" width="29.17"/>
    <col collapsed="false" customWidth="true" hidden="true" outlineLevel="0" max="35" min="35" style="104" width="19.17"/>
    <col collapsed="false" customWidth="true" hidden="false" outlineLevel="0" max="36" min="36" style="105" width="23.5"/>
    <col collapsed="false" customWidth="true" hidden="false" outlineLevel="0" max="41" min="37" style="106" width="15.17"/>
    <col collapsed="false" customWidth="true" hidden="false" outlineLevel="0" max="42" min="42" style="107" width="15.17"/>
    <col collapsed="false" customWidth="true" hidden="false" outlineLevel="0" max="91" min="43" style="106" width="15.17"/>
    <col collapsed="false" customWidth="true" hidden="false" outlineLevel="0" max="1025" min="92" style="106" width="10.66"/>
  </cols>
  <sheetData>
    <row r="1" customFormat="false" ht="94" hidden="false" customHeight="true" outlineLevel="0" collapsed="false">
      <c r="A1" s="108"/>
      <c r="B1" s="109"/>
      <c r="C1" s="109"/>
      <c r="D1" s="109"/>
      <c r="E1" s="109"/>
      <c r="F1" s="109"/>
      <c r="G1" s="109"/>
      <c r="H1" s="110"/>
      <c r="I1" s="110"/>
      <c r="J1" s="109"/>
      <c r="K1" s="109"/>
      <c r="L1" s="109"/>
      <c r="M1" s="109"/>
      <c r="N1" s="110"/>
      <c r="O1" s="110"/>
      <c r="P1" s="109"/>
      <c r="Q1" s="109"/>
      <c r="R1" s="109"/>
      <c r="S1" s="109"/>
      <c r="T1" s="110"/>
      <c r="U1" s="110"/>
      <c r="V1" s="109"/>
      <c r="W1" s="109"/>
      <c r="X1" s="109"/>
      <c r="Y1" s="109"/>
      <c r="Z1" s="110"/>
      <c r="AA1" s="110"/>
      <c r="AB1" s="111"/>
      <c r="AC1" s="111"/>
      <c r="AD1" s="111"/>
      <c r="AE1" s="111"/>
      <c r="AF1" s="110"/>
      <c r="AG1" s="110"/>
      <c r="AH1" s="110"/>
      <c r="AI1" s="112"/>
    </row>
    <row r="2" customFormat="false" ht="94" hidden="false" customHeight="true" outlineLevel="0" collapsed="false">
      <c r="A2" s="108"/>
      <c r="B2" s="109"/>
      <c r="C2" s="109"/>
      <c r="D2" s="109"/>
      <c r="E2" s="109"/>
      <c r="F2" s="109"/>
      <c r="G2" s="109"/>
      <c r="H2" s="110"/>
      <c r="I2" s="110"/>
      <c r="J2" s="109"/>
      <c r="K2" s="109"/>
      <c r="L2" s="109"/>
      <c r="M2" s="109"/>
      <c r="N2" s="110"/>
      <c r="O2" s="110"/>
      <c r="P2" s="109"/>
      <c r="Q2" s="109"/>
      <c r="R2" s="109"/>
      <c r="S2" s="109"/>
      <c r="T2" s="110"/>
      <c r="U2" s="110"/>
      <c r="V2" s="109"/>
      <c r="W2" s="109"/>
      <c r="X2" s="109"/>
      <c r="Y2" s="109"/>
      <c r="Z2" s="110"/>
      <c r="AA2" s="110"/>
      <c r="AB2" s="111"/>
      <c r="AC2" s="111"/>
      <c r="AD2" s="111"/>
      <c r="AE2" s="111"/>
      <c r="AF2" s="110"/>
      <c r="AG2" s="110"/>
      <c r="AH2" s="110"/>
      <c r="AI2" s="112"/>
    </row>
    <row r="3" customFormat="false" ht="124" hidden="false" customHeight="true" outlineLevel="0" collapsed="false">
      <c r="A3" s="113" t="str">
        <f aca="false">CONCATENATE("MATCH DE QUALIFICATION"," - ",INFO!B7," - ",INFO!B9)</f>
        <v>MATCH DE QUALIFICATION - PISTOLET - LORRAINE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</row>
    <row r="4" customFormat="false" ht="84" hidden="false" customHeight="true" outlineLevel="0" collapsed="false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4"/>
    </row>
    <row r="5" s="106" customFormat="true" ht="30" hidden="false" customHeight="true" outlineLevel="0" collapsed="false">
      <c r="A5" s="115" t="s">
        <v>26</v>
      </c>
      <c r="B5" s="116" t="s">
        <v>27</v>
      </c>
      <c r="C5" s="117" t="s">
        <v>28</v>
      </c>
      <c r="D5" s="118" t="s">
        <v>36</v>
      </c>
      <c r="E5" s="119" t="s">
        <v>101</v>
      </c>
      <c r="F5" s="119"/>
      <c r="G5" s="119"/>
      <c r="H5" s="120" t="s">
        <v>31</v>
      </c>
      <c r="I5" s="121" t="s">
        <v>32</v>
      </c>
      <c r="J5" s="118" t="s">
        <v>37</v>
      </c>
      <c r="K5" s="119" t="s">
        <v>101</v>
      </c>
      <c r="L5" s="119"/>
      <c r="M5" s="119"/>
      <c r="N5" s="120" t="s">
        <v>31</v>
      </c>
      <c r="O5" s="121" t="s">
        <v>32</v>
      </c>
      <c r="P5" s="118" t="s">
        <v>38</v>
      </c>
      <c r="Q5" s="119" t="s">
        <v>101</v>
      </c>
      <c r="R5" s="119"/>
      <c r="S5" s="119"/>
      <c r="T5" s="120" t="s">
        <v>31</v>
      </c>
      <c r="U5" s="121" t="s">
        <v>32</v>
      </c>
      <c r="V5" s="118" t="s">
        <v>39</v>
      </c>
      <c r="W5" s="119" t="s">
        <v>101</v>
      </c>
      <c r="X5" s="119"/>
      <c r="Y5" s="119"/>
      <c r="Z5" s="120" t="s">
        <v>31</v>
      </c>
      <c r="AA5" s="121" t="s">
        <v>32</v>
      </c>
      <c r="AB5" s="118" t="s">
        <v>40</v>
      </c>
      <c r="AC5" s="119" t="s">
        <v>101</v>
      </c>
      <c r="AD5" s="119"/>
      <c r="AE5" s="119"/>
      <c r="AF5" s="120" t="s">
        <v>31</v>
      </c>
      <c r="AG5" s="121" t="s">
        <v>32</v>
      </c>
      <c r="AH5" s="115" t="s">
        <v>35</v>
      </c>
      <c r="AI5" s="122" t="s">
        <v>102</v>
      </c>
      <c r="AJ5" s="123"/>
      <c r="AK5" s="124"/>
    </row>
    <row r="6" s="106" customFormat="true" ht="85" hidden="false" customHeight="true" outlineLevel="0" collapsed="false">
      <c r="A6" s="115"/>
      <c r="B6" s="116"/>
      <c r="C6" s="117"/>
      <c r="D6" s="118"/>
      <c r="E6" s="119"/>
      <c r="F6" s="119"/>
      <c r="G6" s="119"/>
      <c r="H6" s="120"/>
      <c r="I6" s="121"/>
      <c r="J6" s="118"/>
      <c r="K6" s="119"/>
      <c r="L6" s="119"/>
      <c r="M6" s="119"/>
      <c r="N6" s="120"/>
      <c r="O6" s="121"/>
      <c r="P6" s="118"/>
      <c r="Q6" s="119"/>
      <c r="R6" s="119"/>
      <c r="S6" s="119"/>
      <c r="T6" s="120"/>
      <c r="U6" s="121"/>
      <c r="V6" s="118"/>
      <c r="W6" s="119"/>
      <c r="X6" s="119"/>
      <c r="Y6" s="119"/>
      <c r="Z6" s="120"/>
      <c r="AA6" s="121"/>
      <c r="AB6" s="118"/>
      <c r="AC6" s="119"/>
      <c r="AD6" s="119"/>
      <c r="AE6" s="119"/>
      <c r="AF6" s="120"/>
      <c r="AG6" s="121"/>
      <c r="AH6" s="115"/>
      <c r="AI6" s="122"/>
      <c r="AJ6" s="123"/>
    </row>
    <row r="7" s="107" customFormat="true" ht="153" hidden="false" customHeight="true" outlineLevel="0" collapsed="false">
      <c r="A7" s="125" t="n">
        <v>1</v>
      </c>
      <c r="B7" s="126" t="str">
        <f aca="false">VLOOKUP(A7,saisie!B$7:AL$26,2,0)</f>
        <v>THAON</v>
      </c>
      <c r="C7" s="127" t="n">
        <f aca="false">VLOOKUP(A7,saisie!B$7:AL$26,3,0)</f>
        <v>1288426</v>
      </c>
      <c r="D7" s="128" t="str">
        <f aca="false">VLOOKUP(A7,saisie!B$7:AL$26,4,0)</f>
        <v>TABOUREUX ANNE</v>
      </c>
      <c r="E7" s="129" t="n">
        <f aca="false">VLOOKUP(A7,saisie!B$7:AL$26,5,0)</f>
        <v>89</v>
      </c>
      <c r="F7" s="129" t="n">
        <f aca="false">VLOOKUP(A7,saisie!B$7:AL$26,6,0)</f>
        <v>94</v>
      </c>
      <c r="G7" s="129" t="n">
        <f aca="false">VLOOKUP(A7,saisie!B$7:AL$26,7,0)</f>
        <v>87</v>
      </c>
      <c r="H7" s="130" t="n">
        <f aca="false">VLOOKUP(A7,saisie!B$7:AL$26,8,0)</f>
        <v>270</v>
      </c>
      <c r="I7" s="131" t="n">
        <f aca="false">VLOOKUP(A7,saisie!B$7:AL$26,9,0)</f>
        <v>0</v>
      </c>
      <c r="J7" s="128" t="str">
        <f aca="false">VLOOKUP(A7,saisie!B$7:AL$26,10,0)</f>
        <v>PARISSE ALEXANDRE</v>
      </c>
      <c r="K7" s="129" t="n">
        <f aca="false">VLOOKUP(A7,saisie!B$7:AL$26,11,0)</f>
        <v>91</v>
      </c>
      <c r="L7" s="129" t="n">
        <f aca="false">VLOOKUP(A7,saisie!B$7:AL$26,12,0)</f>
        <v>91</v>
      </c>
      <c r="M7" s="129" t="n">
        <f aca="false">VLOOKUP(A7,saisie!B$7:AL$26,13,0)</f>
        <v>90</v>
      </c>
      <c r="N7" s="130" t="n">
        <f aca="false">VLOOKUP(A7,saisie!B$7:AL$26,14,0)</f>
        <v>272</v>
      </c>
      <c r="O7" s="131" t="n">
        <f aca="false">VLOOKUP(A7,saisie!B$7:AL$26,15,0)</f>
        <v>0</v>
      </c>
      <c r="P7" s="128" t="str">
        <f aca="false">VLOOKUP(A7,saisie!B$7:AL$26,16,0)</f>
        <v>FRAYARD LAURENCE</v>
      </c>
      <c r="Q7" s="129" t="n">
        <f aca="false">VLOOKUP(A7,saisie!B$7:AL$26,17,0)</f>
        <v>80</v>
      </c>
      <c r="R7" s="129" t="n">
        <f aca="false">VLOOKUP(A7,saisie!B$7:AL$26,18,0)</f>
        <v>79</v>
      </c>
      <c r="S7" s="129" t="n">
        <f aca="false">VLOOKUP(A7,saisie!B$7:AL$26,19,0)</f>
        <v>83</v>
      </c>
      <c r="T7" s="130" t="n">
        <f aca="false">VLOOKUP(A7,saisie!B$7:AL$26,20,0)</f>
        <v>242</v>
      </c>
      <c r="U7" s="131" t="n">
        <f aca="false">VLOOKUP(A7,saisie!B$7:AL$26,21,0)</f>
        <v>0</v>
      </c>
      <c r="V7" s="128" t="str">
        <f aca="false">VLOOKUP(A7,saisie!B$7:AL$26,22,0)</f>
        <v>TABOUREUX ADRIEN</v>
      </c>
      <c r="W7" s="129" t="n">
        <f aca="false">VLOOKUP(A7,saisie!B$7:AL$26,23,0)</f>
        <v>89</v>
      </c>
      <c r="X7" s="129" t="n">
        <f aca="false">VLOOKUP(A7,saisie!B$7:AL$26,24,0)</f>
        <v>95</v>
      </c>
      <c r="Y7" s="129" t="n">
        <f aca="false">VLOOKUP(A7,saisie!B$7:AL$26,25,0)</f>
        <v>90</v>
      </c>
      <c r="Z7" s="130" t="n">
        <f aca="false">VLOOKUP(A7,saisie!B$7:AL$26,26,0)</f>
        <v>274</v>
      </c>
      <c r="AA7" s="131" t="n">
        <f aca="false">VLOOKUP(A7,saisie!B$7:AL$26,27,0)</f>
        <v>0</v>
      </c>
      <c r="AB7" s="128" t="str">
        <f aca="false">VLOOKUP(A7,saisie!B$7:AL$26,28,0)</f>
        <v>TABOUREUX CHRISTOPHE</v>
      </c>
      <c r="AC7" s="129" t="n">
        <f aca="false">VLOOKUP(A7,saisie!B$7:AL$26,29,0)</f>
        <v>92</v>
      </c>
      <c r="AD7" s="129" t="n">
        <f aca="false">VLOOKUP(A7,saisie!B$7:AL$26,30,0)</f>
        <v>90</v>
      </c>
      <c r="AE7" s="129" t="n">
        <f aca="false">VLOOKUP(A7,saisie!B$7:AL$26,31,0)</f>
        <v>91</v>
      </c>
      <c r="AF7" s="130" t="n">
        <f aca="false">VLOOKUP(A7,saisie!B$7:AL$26,32,0)</f>
        <v>273</v>
      </c>
      <c r="AG7" s="131" t="n">
        <f aca="false">VLOOKUP(A7,saisie!B$7:AL$26,33,0)</f>
        <v>0</v>
      </c>
      <c r="AH7" s="132" t="n">
        <f aca="false">VLOOKUP(A7,saisie!B$7:AL$26,34,0)</f>
        <v>1331</v>
      </c>
      <c r="AI7" s="133" t="n">
        <f aca="false">VLOOKUP(A7,saisie!B$7:AL$26,35,0)</f>
        <v>0</v>
      </c>
      <c r="AJ7" s="134"/>
    </row>
    <row r="8" s="107" customFormat="true" ht="153" hidden="false" customHeight="true" outlineLevel="0" collapsed="false">
      <c r="A8" s="125" t="n">
        <f aca="false">IF(INFO!B8&gt;1,2,"")</f>
        <v>2</v>
      </c>
      <c r="B8" s="126" t="str">
        <f aca="false">VLOOKUP(A8,saisie!B$7:AL$26,2,0)</f>
        <v>MOYENMOUTIER</v>
      </c>
      <c r="C8" s="127" t="n">
        <f aca="false">VLOOKUP(A8,saisie!B$7:AL$26,3,0)</f>
        <v>1288402</v>
      </c>
      <c r="D8" s="128" t="str">
        <f aca="false">VLOOKUP(A8,saisie!B$7:AL$26,4,0)</f>
        <v>TACHET JEAN-MICHEL</v>
      </c>
      <c r="E8" s="129" t="n">
        <f aca="false">VLOOKUP(A8,saisie!B$7:AL$26,5,0)</f>
        <v>85</v>
      </c>
      <c r="F8" s="129" t="n">
        <f aca="false">VLOOKUP(A8,saisie!B$7:AL$26,6,0)</f>
        <v>85</v>
      </c>
      <c r="G8" s="129" t="n">
        <f aca="false">VLOOKUP(A8,saisie!B$7:AL$26,7,0)</f>
        <v>81</v>
      </c>
      <c r="H8" s="130" t="n">
        <f aca="false">VLOOKUP(A8,saisie!B$7:AL$26,8,0)</f>
        <v>251</v>
      </c>
      <c r="I8" s="131" t="n">
        <f aca="false">VLOOKUP(A8,saisie!B$7:AL$26,9,0)</f>
        <v>0</v>
      </c>
      <c r="J8" s="128" t="str">
        <f aca="false">VLOOKUP(A8,saisie!B$7:AL$26,10,0)</f>
        <v>GILLOT PIERRE</v>
      </c>
      <c r="K8" s="129" t="n">
        <f aca="false">VLOOKUP(A8,saisie!B$7:AL$26,11,0)</f>
        <v>91</v>
      </c>
      <c r="L8" s="129" t="n">
        <f aca="false">VLOOKUP(A8,saisie!B$7:AL$26,12,0)</f>
        <v>86</v>
      </c>
      <c r="M8" s="129" t="n">
        <f aca="false">VLOOKUP(A8,saisie!B$7:AL$26,13,0)</f>
        <v>86</v>
      </c>
      <c r="N8" s="130" t="n">
        <f aca="false">VLOOKUP(A8,saisie!B$7:AL$26,14,0)</f>
        <v>263</v>
      </c>
      <c r="O8" s="131" t="n">
        <f aca="false">VLOOKUP(A8,saisie!B$7:AL$26,15,0)</f>
        <v>0</v>
      </c>
      <c r="P8" s="128" t="str">
        <f aca="false">VLOOKUP(A8,saisie!B$7:AL$26,16,0)</f>
        <v>CHAMBRY JUSTINE</v>
      </c>
      <c r="Q8" s="129" t="n">
        <f aca="false">VLOOKUP(A8,saisie!B$7:AL$26,17,0)</f>
        <v>88</v>
      </c>
      <c r="R8" s="129" t="n">
        <f aca="false">VLOOKUP(A8,saisie!B$7:AL$26,18,0)</f>
        <v>82</v>
      </c>
      <c r="S8" s="129" t="n">
        <f aca="false">VLOOKUP(A8,saisie!B$7:AL$26,19,0)</f>
        <v>82</v>
      </c>
      <c r="T8" s="130" t="n">
        <f aca="false">VLOOKUP(A8,saisie!B$7:AL$26,20,0)</f>
        <v>252</v>
      </c>
      <c r="U8" s="131" t="n">
        <f aca="false">VLOOKUP(A8,saisie!B$7:AL$26,21,0)</f>
        <v>0</v>
      </c>
      <c r="V8" s="128" t="str">
        <f aca="false">VLOOKUP(A8,saisie!B$7:AL$26,22,0)</f>
        <v>GRIVEL CHRISTOPHE</v>
      </c>
      <c r="W8" s="129" t="n">
        <f aca="false">VLOOKUP(A8,saisie!B$7:AL$26,23,0)</f>
        <v>90</v>
      </c>
      <c r="X8" s="129" t="n">
        <f aca="false">VLOOKUP(A8,saisie!B$7:AL$26,24,0)</f>
        <v>92</v>
      </c>
      <c r="Y8" s="129" t="n">
        <f aca="false">VLOOKUP(A8,saisie!B$7:AL$26,25,0)</f>
        <v>94</v>
      </c>
      <c r="Z8" s="130" t="n">
        <f aca="false">VLOOKUP(A8,saisie!B$7:AL$26,26,0)</f>
        <v>276</v>
      </c>
      <c r="AA8" s="131" t="n">
        <f aca="false">VLOOKUP(A8,saisie!B$7:AL$26,27,0)</f>
        <v>0</v>
      </c>
      <c r="AB8" s="128" t="str">
        <f aca="false">VLOOKUP(A8,saisie!B$7:AL$26,28,0)</f>
        <v>COLIN MICHEL</v>
      </c>
      <c r="AC8" s="129" t="n">
        <f aca="false">VLOOKUP(A8,saisie!B$7:AL$26,29,0)</f>
        <v>90</v>
      </c>
      <c r="AD8" s="129" t="n">
        <f aca="false">VLOOKUP(A8,saisie!B$7:AL$26,30,0)</f>
        <v>92</v>
      </c>
      <c r="AE8" s="129" t="n">
        <f aca="false">VLOOKUP(A8,saisie!B$7:AL$26,31,0)</f>
        <v>88</v>
      </c>
      <c r="AF8" s="130" t="n">
        <f aca="false">VLOOKUP(A8,saisie!B$7:AL$26,32,0)</f>
        <v>270</v>
      </c>
      <c r="AG8" s="131" t="n">
        <f aca="false">VLOOKUP(A8,saisie!B$7:AL$26,33,0)</f>
        <v>0</v>
      </c>
      <c r="AH8" s="132" t="n">
        <f aca="false">VLOOKUP(A8,saisie!B$7:AL$26,34,0)</f>
        <v>1312</v>
      </c>
      <c r="AI8" s="133" t="n">
        <f aca="false">VLOOKUP(A8,saisie!B$7:AL$26,35,0)</f>
        <v>0</v>
      </c>
      <c r="AJ8" s="134"/>
    </row>
    <row r="9" s="107" customFormat="true" ht="153" hidden="false" customHeight="true" outlineLevel="0" collapsed="false">
      <c r="A9" s="125" t="n">
        <f aca="false">IF(INFO!B8&gt;2,3,"")</f>
        <v>3</v>
      </c>
      <c r="B9" s="126" t="str">
        <f aca="false">VLOOKUP(A9,saisie!B$7:AL$26,2,0)</f>
        <v>REMIREMONT</v>
      </c>
      <c r="C9" s="127" t="n">
        <f aca="false">VLOOKUP(A9,saisie!B$7:AL$26,3,0)</f>
        <v>1288404</v>
      </c>
      <c r="D9" s="128" t="str">
        <f aca="false">VLOOKUP(A9,saisie!B$7:AL$26,4,0)</f>
        <v>DEMANGE ISABELLE</v>
      </c>
      <c r="E9" s="129" t="n">
        <f aca="false">VLOOKUP(A9,saisie!B$7:AL$26,5,0)</f>
        <v>86</v>
      </c>
      <c r="F9" s="129" t="n">
        <f aca="false">VLOOKUP(A9,saisie!B$7:AL$26,6,0)</f>
        <v>79</v>
      </c>
      <c r="G9" s="129" t="n">
        <f aca="false">VLOOKUP(A9,saisie!B$7:AL$26,7,0)</f>
        <v>85</v>
      </c>
      <c r="H9" s="130" t="n">
        <f aca="false">VLOOKUP(A9,saisie!B$7:AL$26,8,0)</f>
        <v>250</v>
      </c>
      <c r="I9" s="131" t="n">
        <f aca="false">VLOOKUP(A9,saisie!B$7:AL$26,9,0)</f>
        <v>0</v>
      </c>
      <c r="J9" s="128" t="str">
        <f aca="false">VLOOKUP(A9,saisie!B$7:AL$26,10,0)</f>
        <v>DELANGLE CYRILLE</v>
      </c>
      <c r="K9" s="129" t="n">
        <f aca="false">VLOOKUP(A9,saisie!B$7:AL$26,11,0)</f>
        <v>95</v>
      </c>
      <c r="L9" s="129" t="n">
        <f aca="false">VLOOKUP(A9,saisie!B$7:AL$26,12,0)</f>
        <v>86</v>
      </c>
      <c r="M9" s="129" t="n">
        <f aca="false">VLOOKUP(A9,saisie!B$7:AL$26,13,0)</f>
        <v>92</v>
      </c>
      <c r="N9" s="130" t="n">
        <f aca="false">VLOOKUP(A9,saisie!B$7:AL$26,14,0)</f>
        <v>273</v>
      </c>
      <c r="O9" s="131" t="n">
        <f aca="false">VLOOKUP(A9,saisie!B$7:AL$26,15,0)</f>
        <v>0</v>
      </c>
      <c r="P9" s="128" t="str">
        <f aca="false">VLOOKUP(A9,saisie!B$7:AL$26,16,0)</f>
        <v>COLIN CYRIL</v>
      </c>
      <c r="Q9" s="129" t="n">
        <f aca="false">VLOOKUP(A9,saisie!B$7:AL$26,17,0)</f>
        <v>80</v>
      </c>
      <c r="R9" s="129" t="n">
        <f aca="false">VLOOKUP(A9,saisie!B$7:AL$26,18,0)</f>
        <v>75</v>
      </c>
      <c r="S9" s="129" t="n">
        <f aca="false">VLOOKUP(A9,saisie!B$7:AL$26,19,0)</f>
        <v>81</v>
      </c>
      <c r="T9" s="130" t="n">
        <f aca="false">VLOOKUP(A9,saisie!B$7:AL$26,20,0)</f>
        <v>236</v>
      </c>
      <c r="U9" s="131" t="n">
        <f aca="false">VLOOKUP(A9,saisie!B$7:AL$26,21,0)</f>
        <v>0</v>
      </c>
      <c r="V9" s="128" t="str">
        <f aca="false">VLOOKUP(A9,saisie!B$7:AL$26,22,0)</f>
        <v>BERTRAND GEO</v>
      </c>
      <c r="W9" s="129" t="n">
        <f aca="false">VLOOKUP(A9,saisie!B$7:AL$26,23,0)</f>
        <v>89</v>
      </c>
      <c r="X9" s="129" t="n">
        <f aca="false">VLOOKUP(A9,saisie!B$7:AL$26,24,0)</f>
        <v>95</v>
      </c>
      <c r="Y9" s="129" t="n">
        <f aca="false">VLOOKUP(A9,saisie!B$7:AL$26,25,0)</f>
        <v>93</v>
      </c>
      <c r="Z9" s="130" t="n">
        <f aca="false">VLOOKUP(A9,saisie!B$7:AL$26,26,0)</f>
        <v>277</v>
      </c>
      <c r="AA9" s="131" t="n">
        <f aca="false">VLOOKUP(A9,saisie!B$7:AL$26,27,0)</f>
        <v>0</v>
      </c>
      <c r="AB9" s="128" t="str">
        <f aca="false">VLOOKUP(A9,saisie!B$7:AL$26,28,0)</f>
        <v>MILLOTTE ROMAIN</v>
      </c>
      <c r="AC9" s="129" t="n">
        <f aca="false">VLOOKUP(A9,saisie!B$7:AL$26,29,0)</f>
        <v>91</v>
      </c>
      <c r="AD9" s="129" t="n">
        <f aca="false">VLOOKUP(A9,saisie!B$7:AL$26,30,0)</f>
        <v>90</v>
      </c>
      <c r="AE9" s="129" t="n">
        <f aca="false">VLOOKUP(A9,saisie!B$7:AL$26,31,0)</f>
        <v>86</v>
      </c>
      <c r="AF9" s="130" t="n">
        <f aca="false">VLOOKUP(A9,saisie!B$7:AL$26,32,0)</f>
        <v>267</v>
      </c>
      <c r="AG9" s="131" t="n">
        <f aca="false">VLOOKUP(A9,saisie!B$7:AL$26,33,0)</f>
        <v>0</v>
      </c>
      <c r="AH9" s="132" t="n">
        <f aca="false">VLOOKUP(A9,saisie!B$7:AL$26,34,0)</f>
        <v>1303</v>
      </c>
      <c r="AI9" s="133" t="n">
        <f aca="false">VLOOKUP(A9,saisie!B$7:AL$26,35,0)</f>
        <v>0</v>
      </c>
      <c r="AJ9" s="134"/>
    </row>
    <row r="10" s="107" customFormat="true" ht="153" hidden="false" customHeight="true" outlineLevel="0" collapsed="false">
      <c r="A10" s="125" t="n">
        <f aca="false">IF(INFO!B8&gt;3,4,"")</f>
        <v>4</v>
      </c>
      <c r="B10" s="126" t="str">
        <f aca="false">VLOOKUP(A10,saisie!B$7:AL$26,2,0)</f>
        <v>NEUFCHATEAU</v>
      </c>
      <c r="C10" s="127" t="n">
        <f aca="false">VLOOKUP(A10,saisie!B$7:AL$26,3,0)</f>
        <v>1288139</v>
      </c>
      <c r="D10" s="128" t="str">
        <f aca="false">VLOOKUP(A10,saisie!B$7:AL$26,4,0)</f>
        <v>WILLEMIN LUDOVIC</v>
      </c>
      <c r="E10" s="129" t="n">
        <f aca="false">VLOOKUP(A10,saisie!B$7:AL$26,5,0)</f>
        <v>86</v>
      </c>
      <c r="F10" s="129" t="n">
        <f aca="false">VLOOKUP(A10,saisie!B$7:AL$26,6,0)</f>
        <v>75</v>
      </c>
      <c r="G10" s="129" t="n">
        <f aca="false">VLOOKUP(A10,saisie!B$7:AL$26,7,0)</f>
        <v>74</v>
      </c>
      <c r="H10" s="130" t="n">
        <f aca="false">VLOOKUP(A10,saisie!B$7:AL$26,8,0)</f>
        <v>235</v>
      </c>
      <c r="I10" s="131" t="n">
        <f aca="false">VLOOKUP(A10,saisie!B$7:AL$26,9,0)</f>
        <v>0</v>
      </c>
      <c r="J10" s="128" t="str">
        <f aca="false">VLOOKUP(A10,saisie!B$7:AL$26,10,0)</f>
        <v>BRION-BOGARD SANDRINE</v>
      </c>
      <c r="K10" s="129" t="n">
        <f aca="false">VLOOKUP(A10,saisie!B$7:AL$26,11,0)</f>
        <v>94</v>
      </c>
      <c r="L10" s="129" t="n">
        <f aca="false">VLOOKUP(A10,saisie!B$7:AL$26,12,0)</f>
        <v>88</v>
      </c>
      <c r="M10" s="129" t="n">
        <f aca="false">VLOOKUP(A10,saisie!B$7:AL$26,13,0)</f>
        <v>84</v>
      </c>
      <c r="N10" s="130" t="n">
        <f aca="false">VLOOKUP(A10,saisie!B$7:AL$26,14,0)</f>
        <v>266</v>
      </c>
      <c r="O10" s="131" t="n">
        <f aca="false">VLOOKUP(A10,saisie!B$7:AL$26,15,0)</f>
        <v>0</v>
      </c>
      <c r="P10" s="128" t="str">
        <f aca="false">VLOOKUP(A10,saisie!B$7:AL$26,16,0)</f>
        <v>SERRANO FREDERIC</v>
      </c>
      <c r="Q10" s="129" t="n">
        <f aca="false">VLOOKUP(A10,saisie!B$7:AL$26,17,0)</f>
        <v>93</v>
      </c>
      <c r="R10" s="129" t="n">
        <f aca="false">VLOOKUP(A10,saisie!B$7:AL$26,18,0)</f>
        <v>87</v>
      </c>
      <c r="S10" s="129" t="n">
        <f aca="false">VLOOKUP(A10,saisie!B$7:AL$26,19,0)</f>
        <v>88</v>
      </c>
      <c r="T10" s="130" t="n">
        <f aca="false">VLOOKUP(A10,saisie!B$7:AL$26,20,0)</f>
        <v>268</v>
      </c>
      <c r="U10" s="131" t="n">
        <f aca="false">VLOOKUP(A10,saisie!B$7:AL$26,21,0)</f>
        <v>0</v>
      </c>
      <c r="V10" s="128" t="str">
        <f aca="false">VLOOKUP(A10,saisie!B$7:AL$26,22,0)</f>
        <v>CALME ROMAIN</v>
      </c>
      <c r="W10" s="129" t="n">
        <f aca="false">VLOOKUP(A10,saisie!B$7:AL$26,23,0)</f>
        <v>85</v>
      </c>
      <c r="X10" s="129" t="n">
        <f aca="false">VLOOKUP(A10,saisie!B$7:AL$26,24,0)</f>
        <v>85</v>
      </c>
      <c r="Y10" s="129" t="n">
        <f aca="false">VLOOKUP(A10,saisie!B$7:AL$26,25,0)</f>
        <v>84</v>
      </c>
      <c r="Z10" s="130" t="n">
        <f aca="false">VLOOKUP(A10,saisie!B$7:AL$26,26,0)</f>
        <v>254</v>
      </c>
      <c r="AA10" s="131" t="n">
        <f aca="false">VLOOKUP(A10,saisie!B$7:AL$26,27,0)</f>
        <v>0</v>
      </c>
      <c r="AB10" s="128" t="str">
        <f aca="false">VLOOKUP(A10,saisie!B$7:AL$26,28,0)</f>
        <v>SOLER JOSE</v>
      </c>
      <c r="AC10" s="129" t="n">
        <f aca="false">VLOOKUP(A10,saisie!B$7:AL$26,29,0)</f>
        <v>91</v>
      </c>
      <c r="AD10" s="129" t="n">
        <f aca="false">VLOOKUP(A10,saisie!B$7:AL$26,30,0)</f>
        <v>88</v>
      </c>
      <c r="AE10" s="129" t="n">
        <f aca="false">VLOOKUP(A10,saisie!B$7:AL$26,31,0)</f>
        <v>90</v>
      </c>
      <c r="AF10" s="130" t="n">
        <f aca="false">VLOOKUP(A10,saisie!B$7:AL$26,32,0)</f>
        <v>269</v>
      </c>
      <c r="AG10" s="131" t="n">
        <f aca="false">VLOOKUP(A10,saisie!B$7:AL$26,33,0)</f>
        <v>0</v>
      </c>
      <c r="AH10" s="132" t="n">
        <f aca="false">VLOOKUP(A10,saisie!B$7:AL$26,34,0)</f>
        <v>1292</v>
      </c>
      <c r="AI10" s="133" t="n">
        <f aca="false">VLOOKUP(A10,saisie!B$7:AL$26,35,0)</f>
        <v>0</v>
      </c>
      <c r="AJ10" s="134"/>
    </row>
    <row r="11" s="107" customFormat="true" ht="153" hidden="false" customHeight="true" outlineLevel="0" collapsed="false">
      <c r="A11" s="125" t="n">
        <f aca="false">IF(INFO!B8&gt;4,5,"")</f>
        <v>5</v>
      </c>
      <c r="B11" s="126" t="str">
        <f aca="false">VLOOKUP(A11,saisie!B$7:AL$26,2,0)</f>
        <v>PLOMBIERES</v>
      </c>
      <c r="C11" s="127" t="n">
        <f aca="false">VLOOKUP(A11,saisie!B$7:AL$26,3,0)</f>
        <v>1288435</v>
      </c>
      <c r="D11" s="128" t="str">
        <f aca="false">VLOOKUP(A11,saisie!B$7:AL$26,4,0)</f>
        <v>MARIN JEROME</v>
      </c>
      <c r="E11" s="129" t="n">
        <f aca="false">VLOOKUP(A11,saisie!B$7:AL$26,5,0)</f>
        <v>92</v>
      </c>
      <c r="F11" s="129" t="n">
        <f aca="false">VLOOKUP(A11,saisie!B$7:AL$26,6,0)</f>
        <v>91</v>
      </c>
      <c r="G11" s="129" t="n">
        <f aca="false">VLOOKUP(A11,saisie!B$7:AL$26,7,0)</f>
        <v>89</v>
      </c>
      <c r="H11" s="130" t="n">
        <f aca="false">VLOOKUP(A11,saisie!B$7:AL$26,8,0)</f>
        <v>272</v>
      </c>
      <c r="I11" s="131" t="n">
        <f aca="false">VLOOKUP(A11,saisie!B$7:AL$26,9,0)</f>
        <v>0</v>
      </c>
      <c r="J11" s="128" t="str">
        <f aca="false">VLOOKUP(A11,saisie!B$7:AL$26,10,0)</f>
        <v>JORAND DANIEL</v>
      </c>
      <c r="K11" s="129" t="n">
        <f aca="false">VLOOKUP(A11,saisie!B$7:AL$26,11,0)</f>
        <v>85</v>
      </c>
      <c r="L11" s="129" t="n">
        <f aca="false">VLOOKUP(A11,saisie!B$7:AL$26,12,0)</f>
        <v>84</v>
      </c>
      <c r="M11" s="129" t="n">
        <f aca="false">VLOOKUP(A11,saisie!B$7:AL$26,13,0)</f>
        <v>85</v>
      </c>
      <c r="N11" s="130" t="n">
        <f aca="false">VLOOKUP(A11,saisie!B$7:AL$26,14,0)</f>
        <v>254</v>
      </c>
      <c r="O11" s="131" t="n">
        <f aca="false">VLOOKUP(A11,saisie!B$7:AL$26,15,0)</f>
        <v>0</v>
      </c>
      <c r="P11" s="128" t="str">
        <f aca="false">VLOOKUP(A11,saisie!B$7:AL$26,16,0)</f>
        <v>AUBRY CEDRIC</v>
      </c>
      <c r="Q11" s="129" t="n">
        <f aca="false">VLOOKUP(A11,saisie!B$7:AL$26,17,0)</f>
        <v>82</v>
      </c>
      <c r="R11" s="129" t="n">
        <f aca="false">VLOOKUP(A11,saisie!B$7:AL$26,18,0)</f>
        <v>86</v>
      </c>
      <c r="S11" s="129" t="n">
        <f aca="false">VLOOKUP(A11,saisie!B$7:AL$26,19,0)</f>
        <v>92</v>
      </c>
      <c r="T11" s="130" t="n">
        <f aca="false">VLOOKUP(A11,saisie!B$7:AL$26,20,0)</f>
        <v>260</v>
      </c>
      <c r="U11" s="131" t="n">
        <f aca="false">VLOOKUP(A11,saisie!B$7:AL$26,21,0)</f>
        <v>0</v>
      </c>
      <c r="V11" s="128" t="str">
        <f aca="false">VLOOKUP(A11,saisie!B$7:AL$26,22,0)</f>
        <v>DERBESSE BASTIEN</v>
      </c>
      <c r="W11" s="129" t="n">
        <f aca="false">VLOOKUP(A11,saisie!B$7:AL$26,23,0)</f>
        <v>63</v>
      </c>
      <c r="X11" s="129" t="n">
        <f aca="false">VLOOKUP(A11,saisie!B$7:AL$26,24,0)</f>
        <v>73</v>
      </c>
      <c r="Y11" s="129" t="n">
        <f aca="false">VLOOKUP(A11,saisie!B$7:AL$26,25,0)</f>
        <v>79</v>
      </c>
      <c r="Z11" s="130" t="n">
        <f aca="false">VLOOKUP(A11,saisie!B$7:AL$26,26,0)</f>
        <v>215</v>
      </c>
      <c r="AA11" s="131" t="n">
        <f aca="false">VLOOKUP(A11,saisie!B$7:AL$26,27,0)</f>
        <v>0</v>
      </c>
      <c r="AB11" s="128" t="str">
        <f aca="false">VLOOKUP(A11,saisie!B$7:AL$26,28,0)</f>
        <v>MARIN ANTONIN</v>
      </c>
      <c r="AC11" s="129" t="n">
        <f aca="false">VLOOKUP(A11,saisie!B$7:AL$26,29,0)</f>
        <v>93</v>
      </c>
      <c r="AD11" s="129" t="n">
        <f aca="false">VLOOKUP(A11,saisie!B$7:AL$26,30,0)</f>
        <v>90</v>
      </c>
      <c r="AE11" s="129" t="n">
        <f aca="false">VLOOKUP(A11,saisie!B$7:AL$26,31,0)</f>
        <v>95</v>
      </c>
      <c r="AF11" s="130" t="n">
        <f aca="false">VLOOKUP(A11,saisie!B$7:AL$26,32,0)</f>
        <v>278</v>
      </c>
      <c r="AG11" s="131" t="n">
        <f aca="false">VLOOKUP(A11,saisie!B$7:AL$26,33,0)</f>
        <v>0</v>
      </c>
      <c r="AH11" s="132" t="n">
        <f aca="false">VLOOKUP(A11,saisie!B$7:AL$26,34,0)</f>
        <v>1279</v>
      </c>
      <c r="AI11" s="133" t="n">
        <f aca="false">VLOOKUP(A11,saisie!B$7:AL$26,35,0)</f>
        <v>0</v>
      </c>
      <c r="AJ11" s="134"/>
    </row>
    <row r="12" s="107" customFormat="true" ht="153" hidden="false" customHeight="true" outlineLevel="0" collapsed="false">
      <c r="A12" s="125" t="n">
        <f aca="false">IF(INFO!B8&gt;5,6,"")</f>
        <v>6</v>
      </c>
      <c r="B12" s="126" t="str">
        <f aca="false">VLOOKUP(A12,saisie!B$7:AL$26,2,0)</f>
        <v>EPINAL</v>
      </c>
      <c r="C12" s="127" t="n">
        <f aca="false">VLOOKUP(A12,saisie!B$7:AL$26,3,0)</f>
        <v>1288421</v>
      </c>
      <c r="D12" s="128" t="str">
        <f aca="false">VLOOKUP(A12,saisie!B$7:AL$26,4,0)</f>
        <v>GONELLY GAETAN</v>
      </c>
      <c r="E12" s="129" t="n">
        <f aca="false">VLOOKUP(A12,saisie!B$7:AL$26,5,0)</f>
        <v>84</v>
      </c>
      <c r="F12" s="129" t="n">
        <f aca="false">VLOOKUP(A12,saisie!B$7:AL$26,6,0)</f>
        <v>88</v>
      </c>
      <c r="G12" s="129" t="n">
        <f aca="false">VLOOKUP(A12,saisie!B$7:AL$26,7,0)</f>
        <v>86</v>
      </c>
      <c r="H12" s="130" t="n">
        <f aca="false">VLOOKUP(A12,saisie!B$7:AL$26,8,0)</f>
        <v>258</v>
      </c>
      <c r="I12" s="131" t="n">
        <f aca="false">VLOOKUP(A12,saisie!B$7:AL$26,9,0)</f>
        <v>0</v>
      </c>
      <c r="J12" s="128" t="str">
        <f aca="false">VLOOKUP(A12,saisie!B$7:AL$26,10,0)</f>
        <v>BRIQUE ZACCHARY</v>
      </c>
      <c r="K12" s="129" t="n">
        <f aca="false">VLOOKUP(A12,saisie!B$7:AL$26,11,0)</f>
        <v>83</v>
      </c>
      <c r="L12" s="129" t="n">
        <f aca="false">VLOOKUP(A12,saisie!B$7:AL$26,12,0)</f>
        <v>88</v>
      </c>
      <c r="M12" s="129" t="n">
        <f aca="false">VLOOKUP(A12,saisie!B$7:AL$26,13,0)</f>
        <v>91</v>
      </c>
      <c r="N12" s="130" t="n">
        <f aca="false">VLOOKUP(A12,saisie!B$7:AL$26,14,0)</f>
        <v>262</v>
      </c>
      <c r="O12" s="131" t="n">
        <f aca="false">VLOOKUP(A12,saisie!B$7:AL$26,15,0)</f>
        <v>0</v>
      </c>
      <c r="P12" s="128" t="str">
        <f aca="false">VLOOKUP(A12,saisie!B$7:AL$26,16,0)</f>
        <v>SIMONETTI FLORENT</v>
      </c>
      <c r="Q12" s="129" t="n">
        <f aca="false">VLOOKUP(A12,saisie!B$7:AL$26,17,0)</f>
        <v>83</v>
      </c>
      <c r="R12" s="129" t="n">
        <f aca="false">VLOOKUP(A12,saisie!B$7:AL$26,18,0)</f>
        <v>77</v>
      </c>
      <c r="S12" s="129" t="n">
        <f aca="false">VLOOKUP(A12,saisie!B$7:AL$26,19,0)</f>
        <v>89</v>
      </c>
      <c r="T12" s="130" t="n">
        <f aca="false">VLOOKUP(A12,saisie!B$7:AL$26,20,0)</f>
        <v>249</v>
      </c>
      <c r="U12" s="131" t="n">
        <f aca="false">VLOOKUP(A12,saisie!B$7:AL$26,21,0)</f>
        <v>0</v>
      </c>
      <c r="V12" s="128" t="str">
        <f aca="false">VLOOKUP(A12,saisie!B$7:AL$26,22,0)</f>
        <v>FOLLIOT JEROME</v>
      </c>
      <c r="W12" s="129" t="n">
        <f aca="false">VLOOKUP(A12,saisie!B$7:AL$26,23,0)</f>
        <v>85</v>
      </c>
      <c r="X12" s="129" t="n">
        <f aca="false">VLOOKUP(A12,saisie!B$7:AL$26,24,0)</f>
        <v>89</v>
      </c>
      <c r="Y12" s="129" t="n">
        <f aca="false">VLOOKUP(A12,saisie!B$7:AL$26,25,0)</f>
        <v>81</v>
      </c>
      <c r="Z12" s="130" t="n">
        <f aca="false">VLOOKUP(A12,saisie!B$7:AL$26,26,0)</f>
        <v>255</v>
      </c>
      <c r="AA12" s="131" t="n">
        <f aca="false">VLOOKUP(A12,saisie!B$7:AL$26,27,0)</f>
        <v>0</v>
      </c>
      <c r="AB12" s="128" t="str">
        <f aca="false">VLOOKUP(A12,saisie!B$7:AL$26,28,0)</f>
        <v>GRAEBLING SOLENA</v>
      </c>
      <c r="AC12" s="129" t="n">
        <f aca="false">VLOOKUP(A12,saisie!B$7:AL$26,29,0)</f>
        <v>86</v>
      </c>
      <c r="AD12" s="129" t="n">
        <f aca="false">VLOOKUP(A12,saisie!B$7:AL$26,30,0)</f>
        <v>86</v>
      </c>
      <c r="AE12" s="129" t="n">
        <f aca="false">VLOOKUP(A12,saisie!B$7:AL$26,31,0)</f>
        <v>83</v>
      </c>
      <c r="AF12" s="130" t="n">
        <f aca="false">VLOOKUP(A12,saisie!B$7:AL$26,32,0)</f>
        <v>255</v>
      </c>
      <c r="AG12" s="131" t="n">
        <f aca="false">VLOOKUP(A12,saisie!B$7:AL$26,33,0)</f>
        <v>0</v>
      </c>
      <c r="AH12" s="132" t="n">
        <f aca="false">VLOOKUP(A12,saisie!B$7:AL$26,34,0)</f>
        <v>1279</v>
      </c>
      <c r="AI12" s="133" t="n">
        <f aca="false">VLOOKUP(A12,saisie!B$7:AL$26,35,0)</f>
        <v>0</v>
      </c>
      <c r="AJ12" s="134"/>
    </row>
    <row r="13" s="107" customFormat="true" ht="153" hidden="false" customHeight="true" outlineLevel="0" collapsed="false">
      <c r="A13" s="125" t="n">
        <f aca="false">IF(INFO!B8&gt;6,7,"")</f>
        <v>7</v>
      </c>
      <c r="B13" s="126" t="str">
        <f aca="false">VLOOKUP(A13,saisie!B$7:AL$26,2,0)</f>
        <v>VINCEY</v>
      </c>
      <c r="C13" s="127" t="n">
        <f aca="false">VLOOKUP(A13,saisie!B$7:AL$26,3,0)</f>
        <v>1288380</v>
      </c>
      <c r="D13" s="128" t="str">
        <f aca="false">VLOOKUP(A13,saisie!B$7:AL$26,4,0)</f>
        <v>BERBAGUI LINE</v>
      </c>
      <c r="E13" s="129" t="n">
        <f aca="false">VLOOKUP(A13,saisie!B$7:AL$26,5,0)</f>
        <v>85</v>
      </c>
      <c r="F13" s="129" t="n">
        <f aca="false">VLOOKUP(A13,saisie!B$7:AL$26,6,0)</f>
        <v>81</v>
      </c>
      <c r="G13" s="129" t="n">
        <f aca="false">VLOOKUP(A13,saisie!B$7:AL$26,7,0)</f>
        <v>90</v>
      </c>
      <c r="H13" s="130" t="n">
        <f aca="false">VLOOKUP(A13,saisie!B$7:AL$26,8,0)</f>
        <v>256</v>
      </c>
      <c r="I13" s="131" t="n">
        <f aca="false">VLOOKUP(A13,saisie!B$7:AL$26,9,0)</f>
        <v>0</v>
      </c>
      <c r="J13" s="128" t="str">
        <f aca="false">VLOOKUP(A13,saisie!B$7:AL$26,10,0)</f>
        <v>FEY THEO</v>
      </c>
      <c r="K13" s="129" t="n">
        <f aca="false">VLOOKUP(A13,saisie!B$7:AL$26,11,0)</f>
        <v>80</v>
      </c>
      <c r="L13" s="129" t="n">
        <f aca="false">VLOOKUP(A13,saisie!B$7:AL$26,12,0)</f>
        <v>76</v>
      </c>
      <c r="M13" s="129" t="n">
        <f aca="false">VLOOKUP(A13,saisie!B$7:AL$26,13,0)</f>
        <v>83</v>
      </c>
      <c r="N13" s="130" t="n">
        <f aca="false">VLOOKUP(A13,saisie!B$7:AL$26,14,0)</f>
        <v>239</v>
      </c>
      <c r="O13" s="131" t="n">
        <f aca="false">VLOOKUP(A13,saisie!B$7:AL$26,15,0)</f>
        <v>0</v>
      </c>
      <c r="P13" s="128" t="str">
        <f aca="false">VLOOKUP(A13,saisie!B$7:AL$26,16,0)</f>
        <v>GRANDJEAN CYRILLE</v>
      </c>
      <c r="Q13" s="129" t="n">
        <f aca="false">VLOOKUP(A13,saisie!B$7:AL$26,17,0)</f>
        <v>76</v>
      </c>
      <c r="R13" s="129" t="n">
        <f aca="false">VLOOKUP(A13,saisie!B$7:AL$26,18,0)</f>
        <v>74</v>
      </c>
      <c r="S13" s="129" t="n">
        <f aca="false">VLOOKUP(A13,saisie!B$7:AL$26,19,0)</f>
        <v>86</v>
      </c>
      <c r="T13" s="130" t="n">
        <f aca="false">VLOOKUP(A13,saisie!B$7:AL$26,20,0)</f>
        <v>236</v>
      </c>
      <c r="U13" s="131" t="n">
        <f aca="false">VLOOKUP(A13,saisie!B$7:AL$26,21,0)</f>
        <v>0</v>
      </c>
      <c r="V13" s="128" t="str">
        <f aca="false">VLOOKUP(A13,saisie!B$7:AL$26,22,0)</f>
        <v>MARCHAL EMMA</v>
      </c>
      <c r="W13" s="129" t="n">
        <f aca="false">VLOOKUP(A13,saisie!B$7:AL$26,23,0)</f>
        <v>93</v>
      </c>
      <c r="X13" s="129" t="n">
        <f aca="false">VLOOKUP(A13,saisie!B$7:AL$26,24,0)</f>
        <v>86</v>
      </c>
      <c r="Y13" s="129" t="n">
        <f aca="false">VLOOKUP(A13,saisie!B$7:AL$26,25,0)</f>
        <v>80</v>
      </c>
      <c r="Z13" s="130" t="n">
        <f aca="false">VLOOKUP(A13,saisie!B$7:AL$26,26,0)</f>
        <v>259</v>
      </c>
      <c r="AA13" s="131" t="n">
        <f aca="false">VLOOKUP(A13,saisie!B$7:AL$26,27,0)</f>
        <v>0</v>
      </c>
      <c r="AB13" s="128" t="str">
        <f aca="false">VLOOKUP(A13,saisie!B$7:AL$26,28,0)</f>
        <v>MARCHAL CLEMENT</v>
      </c>
      <c r="AC13" s="129" t="n">
        <f aca="false">VLOOKUP(A13,saisie!B$7:AL$26,29,0)</f>
        <v>81</v>
      </c>
      <c r="AD13" s="129" t="n">
        <f aca="false">VLOOKUP(A13,saisie!B$7:AL$26,30,0)</f>
        <v>88</v>
      </c>
      <c r="AE13" s="129" t="n">
        <f aca="false">VLOOKUP(A13,saisie!B$7:AL$26,31,0)</f>
        <v>86</v>
      </c>
      <c r="AF13" s="130" t="n">
        <f aca="false">VLOOKUP(A13,saisie!B$7:AL$26,32,0)</f>
        <v>255</v>
      </c>
      <c r="AG13" s="131" t="n">
        <f aca="false">VLOOKUP(A13,saisie!B$7:AL$26,33,0)</f>
        <v>0</v>
      </c>
      <c r="AH13" s="132" t="n">
        <f aca="false">VLOOKUP(A13,saisie!B$7:AL$26,34,0)</f>
        <v>1245</v>
      </c>
      <c r="AI13" s="133" t="n">
        <f aca="false">VLOOKUP(A13,saisie!B$7:AL$26,35,0)</f>
        <v>0</v>
      </c>
      <c r="AJ13" s="134"/>
    </row>
    <row r="14" s="107" customFormat="true" ht="153" hidden="false" customHeight="true" outlineLevel="0" collapsed="false">
      <c r="A14" s="132" t="n">
        <f aca="false">IF(INFO!B8&gt;7,8,"")</f>
        <v>8</v>
      </c>
      <c r="B14" s="126" t="str">
        <f aca="false">VLOOKUP(A14,saisie!B$7:AL$26,2,0)</f>
        <v>RAMBERVILLERS</v>
      </c>
      <c r="C14" s="127" t="n">
        <f aca="false">VLOOKUP(A14,saisie!B$7:AL$26,3,0)</f>
        <v>1288512</v>
      </c>
      <c r="D14" s="128" t="str">
        <f aca="false">VLOOKUP(A14,saisie!B$7:AL$26,4,0)</f>
        <v>LALLEMAND AUGUSTIN</v>
      </c>
      <c r="E14" s="129" t="n">
        <f aca="false">VLOOKUP(A14,saisie!B$7:AL$26,5,0)</f>
        <v>74</v>
      </c>
      <c r="F14" s="129" t="n">
        <f aca="false">VLOOKUP(A14,saisie!B$7:AL$26,6,0)</f>
        <v>76</v>
      </c>
      <c r="G14" s="129" t="n">
        <f aca="false">VLOOKUP(A14,saisie!B$7:AL$26,7,0)</f>
        <v>78</v>
      </c>
      <c r="H14" s="130" t="n">
        <f aca="false">VLOOKUP(A14,saisie!B$7:AL$26,8,0)</f>
        <v>228</v>
      </c>
      <c r="I14" s="131" t="n">
        <f aca="false">VLOOKUP(A14,saisie!B$7:AL$26,9,0)</f>
        <v>0</v>
      </c>
      <c r="J14" s="128" t="str">
        <f aca="false">VLOOKUP(A14,saisie!B$7:AL$26,10,0)</f>
        <v>VAIREL LOUIS</v>
      </c>
      <c r="K14" s="129" t="n">
        <f aca="false">VLOOKUP(A14,saisie!B$7:AL$26,11,0)</f>
        <v>81</v>
      </c>
      <c r="L14" s="129" t="n">
        <f aca="false">VLOOKUP(A14,saisie!B$7:AL$26,12,0)</f>
        <v>88</v>
      </c>
      <c r="M14" s="129" t="n">
        <f aca="false">VLOOKUP(A14,saisie!B$7:AL$26,13,0)</f>
        <v>79</v>
      </c>
      <c r="N14" s="130" t="n">
        <f aca="false">VLOOKUP(A14,saisie!B$7:AL$26,14,0)</f>
        <v>248</v>
      </c>
      <c r="O14" s="131" t="n">
        <f aca="false">VLOOKUP(A14,saisie!B$7:AL$26,15,0)</f>
        <v>0</v>
      </c>
      <c r="P14" s="128" t="str">
        <f aca="false">VLOOKUP(A14,saisie!B$7:AL$26,16,0)</f>
        <v>VIMEUX JORDAN</v>
      </c>
      <c r="Q14" s="129" t="n">
        <f aca="false">VLOOKUP(A14,saisie!B$7:AL$26,17,0)</f>
        <v>93</v>
      </c>
      <c r="R14" s="129" t="n">
        <f aca="false">VLOOKUP(A14,saisie!B$7:AL$26,18,0)</f>
        <v>80</v>
      </c>
      <c r="S14" s="129" t="n">
        <f aca="false">VLOOKUP(A14,saisie!B$7:AL$26,19,0)</f>
        <v>91</v>
      </c>
      <c r="T14" s="130" t="n">
        <f aca="false">VLOOKUP(A14,saisie!B$7:AL$26,20,0)</f>
        <v>264</v>
      </c>
      <c r="U14" s="131" t="n">
        <f aca="false">VLOOKUP(A14,saisie!B$7:AL$26,21,0)</f>
        <v>0</v>
      </c>
      <c r="V14" s="128" t="str">
        <f aca="false">VLOOKUP(A14,saisie!B$7:AL$26,22,0)</f>
        <v>AUBRY GERALD</v>
      </c>
      <c r="W14" s="129" t="n">
        <f aca="false">VLOOKUP(A14,saisie!B$7:AL$26,23,0)</f>
        <v>75</v>
      </c>
      <c r="X14" s="129" t="n">
        <f aca="false">VLOOKUP(A14,saisie!B$7:AL$26,24,0)</f>
        <v>64</v>
      </c>
      <c r="Y14" s="129" t="n">
        <f aca="false">VLOOKUP(A14,saisie!B$7:AL$26,25,0)</f>
        <v>87</v>
      </c>
      <c r="Z14" s="130" t="n">
        <f aca="false">VLOOKUP(A14,saisie!B$7:AL$26,26,0)</f>
        <v>226</v>
      </c>
      <c r="AA14" s="131" t="n">
        <f aca="false">VLOOKUP(A14,saisie!B$7:AL$26,27,0)</f>
        <v>0</v>
      </c>
      <c r="AB14" s="128" t="str">
        <f aca="false">VLOOKUP(A14,saisie!B$7:AL$26,28,0)</f>
        <v>POIROT JEAN-MARIE</v>
      </c>
      <c r="AC14" s="129" t="n">
        <f aca="false">VLOOKUP(A14,saisie!B$7:AL$26,29,0)</f>
        <v>86</v>
      </c>
      <c r="AD14" s="129" t="n">
        <f aca="false">VLOOKUP(A14,saisie!B$7:AL$26,30,0)</f>
        <v>80</v>
      </c>
      <c r="AE14" s="129" t="n">
        <f aca="false">VLOOKUP(A14,saisie!B$7:AL$26,31,0)</f>
        <v>80</v>
      </c>
      <c r="AF14" s="130" t="n">
        <f aca="false">VLOOKUP(A14,saisie!B$7:AL$26,32,0)</f>
        <v>246</v>
      </c>
      <c r="AG14" s="131" t="n">
        <f aca="false">VLOOKUP(A14,saisie!B$7:AL$26,33,0)</f>
        <v>0</v>
      </c>
      <c r="AH14" s="132" t="n">
        <f aca="false">VLOOKUP(A14,saisie!B$7:AL$26,34,0)</f>
        <v>1212</v>
      </c>
      <c r="AI14" s="133" t="n">
        <f aca="false">VLOOKUP(A14,saisie!B$7:AL$26,35,0)</f>
        <v>0</v>
      </c>
      <c r="AJ14" s="134"/>
    </row>
    <row r="15" s="107" customFormat="true" ht="153" hidden="false" customHeight="true" outlineLevel="0" collapsed="false">
      <c r="A15" s="125" t="n">
        <f aca="false">IF(INFO!B8&gt;8,9,"")</f>
        <v>9</v>
      </c>
      <c r="B15" s="126" t="str">
        <f aca="false">VLOOKUP(A15,saisie!B$7:AL$26,2,0)</f>
        <v>LA BRESSE</v>
      </c>
      <c r="C15" s="127" t="n">
        <f aca="false">VLOOKUP(A15,saisie!B$7:AL$26,3,0)</f>
        <v>1288280</v>
      </c>
      <c r="D15" s="128" t="str">
        <f aca="false">VLOOKUP(A15,saisie!B$7:AL$26,4,0)</f>
        <v>GALMICHE CLAUDE</v>
      </c>
      <c r="E15" s="129" t="n">
        <f aca="false">VLOOKUP(A15,saisie!B$7:AL$26,5,0)</f>
        <v>74</v>
      </c>
      <c r="F15" s="129" t="n">
        <f aca="false">VLOOKUP(A15,saisie!B$7:AL$26,6,0)</f>
        <v>72</v>
      </c>
      <c r="G15" s="129" t="n">
        <f aca="false">VLOOKUP(A15,saisie!B$7:AL$26,7,0)</f>
        <v>85</v>
      </c>
      <c r="H15" s="130" t="n">
        <f aca="false">VLOOKUP(A15,saisie!B$7:AL$26,8,0)</f>
        <v>231</v>
      </c>
      <c r="I15" s="131" t="n">
        <f aca="false">VLOOKUP(A15,saisie!B$7:AL$26,9,0)</f>
        <v>0</v>
      </c>
      <c r="J15" s="128" t="str">
        <f aca="false">VLOOKUP(A15,saisie!B$7:AL$26,10,0)</f>
        <v>GEROME EDITH</v>
      </c>
      <c r="K15" s="129" t="n">
        <f aca="false">VLOOKUP(A15,saisie!B$7:AL$26,11,0)</f>
        <v>80</v>
      </c>
      <c r="L15" s="129" t="n">
        <f aca="false">VLOOKUP(A15,saisie!B$7:AL$26,12,0)</f>
        <v>63</v>
      </c>
      <c r="M15" s="129" t="n">
        <f aca="false">VLOOKUP(A15,saisie!B$7:AL$26,13,0)</f>
        <v>72</v>
      </c>
      <c r="N15" s="130" t="n">
        <f aca="false">VLOOKUP(A15,saisie!B$7:AL$26,14,0)</f>
        <v>215</v>
      </c>
      <c r="O15" s="131" t="n">
        <f aca="false">VLOOKUP(A15,saisie!B$7:AL$26,15,0)</f>
        <v>0</v>
      </c>
      <c r="P15" s="128" t="str">
        <f aca="false">VLOOKUP(A15,saisie!B$7:AL$26,16,0)</f>
        <v>POIROT JEAN-CLAUDE</v>
      </c>
      <c r="Q15" s="129" t="n">
        <f aca="false">VLOOKUP(A15,saisie!B$7:AL$26,17,0)</f>
        <v>83</v>
      </c>
      <c r="R15" s="129" t="n">
        <f aca="false">VLOOKUP(A15,saisie!B$7:AL$26,18,0)</f>
        <v>79</v>
      </c>
      <c r="S15" s="129" t="n">
        <f aca="false">VLOOKUP(A15,saisie!B$7:AL$26,19,0)</f>
        <v>85</v>
      </c>
      <c r="T15" s="130" t="n">
        <f aca="false">VLOOKUP(A15,saisie!B$7:AL$26,20,0)</f>
        <v>247</v>
      </c>
      <c r="U15" s="131" t="n">
        <f aca="false">VLOOKUP(A15,saisie!B$7:AL$26,21,0)</f>
        <v>0</v>
      </c>
      <c r="V15" s="128" t="str">
        <f aca="false">VLOOKUP(A15,saisie!B$7:AL$26,22,0)</f>
        <v>IMBERT LEONTINE</v>
      </c>
      <c r="W15" s="129" t="n">
        <f aca="false">VLOOKUP(A15,saisie!B$7:AL$26,23,0)</f>
        <v>82</v>
      </c>
      <c r="X15" s="129" t="n">
        <f aca="false">VLOOKUP(A15,saisie!B$7:AL$26,24,0)</f>
        <v>69</v>
      </c>
      <c r="Y15" s="129" t="n">
        <f aca="false">VLOOKUP(A15,saisie!B$7:AL$26,25,0)</f>
        <v>67</v>
      </c>
      <c r="Z15" s="130" t="n">
        <f aca="false">VLOOKUP(A15,saisie!B$7:AL$26,26,0)</f>
        <v>218</v>
      </c>
      <c r="AA15" s="131" t="n">
        <f aca="false">VLOOKUP(A15,saisie!B$7:AL$26,27,0)</f>
        <v>0</v>
      </c>
      <c r="AB15" s="128" t="str">
        <f aca="false">VLOOKUP(A15,saisie!B$7:AL$26,28,0)</f>
        <v>OUDOT PAULA</v>
      </c>
      <c r="AC15" s="129" t="n">
        <f aca="false">VLOOKUP(A15,saisie!B$7:AL$26,29,0)</f>
        <v>84</v>
      </c>
      <c r="AD15" s="129" t="n">
        <f aca="false">VLOOKUP(A15,saisie!B$7:AL$26,30,0)</f>
        <v>87</v>
      </c>
      <c r="AE15" s="129" t="n">
        <f aca="false">VLOOKUP(A15,saisie!B$7:AL$26,31,0)</f>
        <v>84</v>
      </c>
      <c r="AF15" s="130" t="n">
        <f aca="false">VLOOKUP(A15,saisie!B$7:AL$26,32,0)</f>
        <v>255</v>
      </c>
      <c r="AG15" s="131" t="n">
        <f aca="false">VLOOKUP(A15,saisie!B$7:AL$26,33,0)</f>
        <v>0</v>
      </c>
      <c r="AH15" s="132" t="n">
        <f aca="false">VLOOKUP(A15,saisie!B$7:AL$26,34,0)</f>
        <v>1166</v>
      </c>
      <c r="AI15" s="133" t="n">
        <f aca="false">VLOOKUP(A15,saisie!B$7:AL$26,35,0)</f>
        <v>0</v>
      </c>
      <c r="AJ15" s="134"/>
    </row>
    <row r="16" s="107" customFormat="true" ht="153" hidden="false" customHeight="true" outlineLevel="0" collapsed="false">
      <c r="A16" s="125" t="n">
        <f aca="false">IF(INFO!B8&gt;9,10,"")</f>
        <v>10</v>
      </c>
      <c r="B16" s="126" t="str">
        <f aca="false">VLOOKUP(A16,saisie!B$7:AL$26,2,0)</f>
        <v>SAINT DIE</v>
      </c>
      <c r="C16" s="127" t="n">
        <f aca="false">VLOOKUP(A16,saisie!B$7:AL$26,3,0)</f>
        <v>1288083</v>
      </c>
      <c r="D16" s="128" t="str">
        <f aca="false">VLOOKUP(A16,saisie!B$7:AL$26,4,0)</f>
        <v>MEUNIER PHILIPPE</v>
      </c>
      <c r="E16" s="129" t="n">
        <f aca="false">VLOOKUP(A16,saisie!B$7:AL$26,5,0)</f>
        <v>87</v>
      </c>
      <c r="F16" s="129" t="n">
        <f aca="false">VLOOKUP(A16,saisie!B$7:AL$26,6,0)</f>
        <v>88</v>
      </c>
      <c r="G16" s="129" t="n">
        <f aca="false">VLOOKUP(A16,saisie!B$7:AL$26,7,0)</f>
        <v>90</v>
      </c>
      <c r="H16" s="130" t="n">
        <f aca="false">VLOOKUP(A16,saisie!B$7:AL$26,8,0)</f>
        <v>265</v>
      </c>
      <c r="I16" s="131" t="n">
        <f aca="false">VLOOKUP(A16,saisie!B$7:AL$26,9,0)</f>
        <v>0</v>
      </c>
      <c r="J16" s="128" t="str">
        <f aca="false">VLOOKUP(A16,saisie!B$7:AL$26,10,0)</f>
        <v>DIDIERGEORGE DOMINIQUE</v>
      </c>
      <c r="K16" s="129" t="n">
        <f aca="false">VLOOKUP(A16,saisie!B$7:AL$26,11,0)</f>
        <v>89</v>
      </c>
      <c r="L16" s="129" t="n">
        <f aca="false">VLOOKUP(A16,saisie!B$7:AL$26,12,0)</f>
        <v>87</v>
      </c>
      <c r="M16" s="129" t="n">
        <f aca="false">VLOOKUP(A16,saisie!B$7:AL$26,13,0)</f>
        <v>78</v>
      </c>
      <c r="N16" s="130" t="n">
        <f aca="false">VLOOKUP(A16,saisie!B$7:AL$26,14,0)</f>
        <v>254</v>
      </c>
      <c r="O16" s="131" t="n">
        <f aca="false">VLOOKUP(A16,saisie!B$7:AL$26,15,0)</f>
        <v>0</v>
      </c>
      <c r="P16" s="128" t="str">
        <f aca="false">VLOOKUP(A16,saisie!B$7:AL$26,16,0)</f>
        <v>BLUM BERNARD</v>
      </c>
      <c r="Q16" s="129" t="n">
        <f aca="false">VLOOKUP(A16,saisie!B$7:AL$26,17,0)</f>
        <v>83</v>
      </c>
      <c r="R16" s="129" t="n">
        <f aca="false">VLOOKUP(A16,saisie!B$7:AL$26,18,0)</f>
        <v>82</v>
      </c>
      <c r="S16" s="129" t="n">
        <f aca="false">VLOOKUP(A16,saisie!B$7:AL$26,19,0)</f>
        <v>84</v>
      </c>
      <c r="T16" s="130" t="n">
        <f aca="false">VLOOKUP(A16,saisie!B$7:AL$26,20,0)</f>
        <v>249</v>
      </c>
      <c r="U16" s="131" t="n">
        <f aca="false">VLOOKUP(A16,saisie!B$7:AL$26,21,0)</f>
        <v>0</v>
      </c>
      <c r="V16" s="128" t="str">
        <f aca="false">VLOOKUP(A16,saisie!B$7:AL$26,22,0)</f>
        <v>RABASQUINHO JULIEN</v>
      </c>
      <c r="W16" s="129" t="n">
        <f aca="false">VLOOKUP(A16,saisie!B$7:AL$26,23,0)</f>
        <v>0</v>
      </c>
      <c r="X16" s="129" t="n">
        <f aca="false">VLOOKUP(A16,saisie!B$7:AL$26,24,0)</f>
        <v>0</v>
      </c>
      <c r="Y16" s="129" t="n">
        <f aca="false">VLOOKUP(A16,saisie!B$7:AL$26,25,0)</f>
        <v>0</v>
      </c>
      <c r="Z16" s="130" t="n">
        <f aca="false">VLOOKUP(A16,saisie!B$7:AL$26,26,0)</f>
        <v>0</v>
      </c>
      <c r="AA16" s="131" t="n">
        <f aca="false">VLOOKUP(A16,saisie!B$7:AL$26,27,0)</f>
        <v>0</v>
      </c>
      <c r="AB16" s="128" t="str">
        <f aca="false">VLOOKUP(A16,saisie!B$7:AL$26,28,0)</f>
        <v>BOURG HEIDI</v>
      </c>
      <c r="AC16" s="129" t="n">
        <f aca="false">VLOOKUP(A16,saisie!B$7:AL$26,29,0)</f>
        <v>0</v>
      </c>
      <c r="AD16" s="129" t="n">
        <f aca="false">VLOOKUP(A16,saisie!B$7:AL$26,30,0)</f>
        <v>0</v>
      </c>
      <c r="AE16" s="129" t="n">
        <f aca="false">VLOOKUP(A16,saisie!B$7:AL$26,31,0)</f>
        <v>0</v>
      </c>
      <c r="AF16" s="130" t="n">
        <f aca="false">VLOOKUP(A16,saisie!B$7:AL$26,32,0)</f>
        <v>0</v>
      </c>
      <c r="AG16" s="131" t="n">
        <f aca="false">VLOOKUP(A16,saisie!B$7:AL$26,33,0)</f>
        <v>0</v>
      </c>
      <c r="AH16" s="132" t="n">
        <f aca="false">VLOOKUP(A16,saisie!B$7:AL$26,34,0)</f>
        <v>768</v>
      </c>
      <c r="AI16" s="133" t="n">
        <f aca="false">VLOOKUP(A16,saisie!B$7:AL$26,35,0)</f>
        <v>0</v>
      </c>
      <c r="AJ16" s="134"/>
    </row>
    <row r="17" s="107" customFormat="true" ht="153" hidden="false" customHeight="true" outlineLevel="0" collapsed="false">
      <c r="A17" s="125" t="str">
        <f aca="false">IF(INFO!B8&gt;10,11,"")</f>
        <v/>
      </c>
      <c r="B17" s="126" t="e">
        <f aca="false">VLOOKUP(A17,saisie!B$7:AL$26,2,0)</f>
        <v>#N/A</v>
      </c>
      <c r="C17" s="127" t="e">
        <f aca="false">VLOOKUP(A17,saisie!B$7:AL$26,3,0)</f>
        <v>#N/A</v>
      </c>
      <c r="D17" s="128" t="e">
        <f aca="false">VLOOKUP(A17,saisie!B$7:AL$26,4,0)</f>
        <v>#N/A</v>
      </c>
      <c r="E17" s="129" t="e">
        <f aca="false">VLOOKUP(A17,saisie!B$7:AL$26,5,0)</f>
        <v>#N/A</v>
      </c>
      <c r="F17" s="129" t="e">
        <f aca="false">VLOOKUP(A17,saisie!B$7:AL$26,6,0)</f>
        <v>#N/A</v>
      </c>
      <c r="G17" s="129" t="e">
        <f aca="false">VLOOKUP(A17,saisie!B$7:AL$26,7,0)</f>
        <v>#N/A</v>
      </c>
      <c r="H17" s="130" t="e">
        <f aca="false">VLOOKUP(A17,saisie!B$7:AL$26,8,0)</f>
        <v>#N/A</v>
      </c>
      <c r="I17" s="131" t="e">
        <f aca="false">VLOOKUP(A17,saisie!B$7:AL$26,9,0)</f>
        <v>#N/A</v>
      </c>
      <c r="J17" s="128" t="e">
        <f aca="false">VLOOKUP(A17,saisie!B$7:AL$26,10,0)</f>
        <v>#N/A</v>
      </c>
      <c r="K17" s="129" t="e">
        <f aca="false">VLOOKUP(A17,saisie!B$7:AL$26,11,0)</f>
        <v>#N/A</v>
      </c>
      <c r="L17" s="129" t="e">
        <f aca="false">VLOOKUP(A17,saisie!B$7:AL$26,12,0)</f>
        <v>#N/A</v>
      </c>
      <c r="M17" s="129" t="e">
        <f aca="false">VLOOKUP(A17,saisie!B$7:AL$26,13,0)</f>
        <v>#N/A</v>
      </c>
      <c r="N17" s="130" t="e">
        <f aca="false">VLOOKUP(A17,saisie!B$7:AL$26,14,0)</f>
        <v>#N/A</v>
      </c>
      <c r="O17" s="131" t="e">
        <f aca="false">VLOOKUP(A17,saisie!B$7:AL$26,15,0)</f>
        <v>#N/A</v>
      </c>
      <c r="P17" s="128" t="e">
        <f aca="false">VLOOKUP(A17,saisie!B$7:AL$26,16,0)</f>
        <v>#N/A</v>
      </c>
      <c r="Q17" s="129" t="e">
        <f aca="false">VLOOKUP(A17,saisie!B$7:AL$26,17,0)</f>
        <v>#N/A</v>
      </c>
      <c r="R17" s="129" t="e">
        <f aca="false">VLOOKUP(A17,saisie!B$7:AL$26,18,0)</f>
        <v>#N/A</v>
      </c>
      <c r="S17" s="129" t="e">
        <f aca="false">VLOOKUP(A17,saisie!B$7:AL$26,19,0)</f>
        <v>#N/A</v>
      </c>
      <c r="T17" s="130" t="e">
        <f aca="false">VLOOKUP(A17,saisie!B$7:AL$26,20,0)</f>
        <v>#N/A</v>
      </c>
      <c r="U17" s="131" t="e">
        <f aca="false">VLOOKUP(A17,saisie!B$7:AL$26,21,0)</f>
        <v>#N/A</v>
      </c>
      <c r="V17" s="128" t="e">
        <f aca="false">VLOOKUP(A17,saisie!B$7:AL$26,22,0)</f>
        <v>#N/A</v>
      </c>
      <c r="W17" s="129" t="e">
        <f aca="false">VLOOKUP(A17,saisie!B$7:AL$26,23,0)</f>
        <v>#N/A</v>
      </c>
      <c r="X17" s="129" t="e">
        <f aca="false">VLOOKUP(A17,saisie!B$7:AL$26,24,0)</f>
        <v>#N/A</v>
      </c>
      <c r="Y17" s="129" t="e">
        <f aca="false">VLOOKUP(A17,saisie!B$7:AL$26,25,0)</f>
        <v>#N/A</v>
      </c>
      <c r="Z17" s="130" t="e">
        <f aca="false">VLOOKUP(A17,saisie!B$7:AL$26,26,0)</f>
        <v>#N/A</v>
      </c>
      <c r="AA17" s="131" t="e">
        <f aca="false">VLOOKUP(A17,saisie!B$7:AL$26,27,0)</f>
        <v>#N/A</v>
      </c>
      <c r="AB17" s="128" t="e">
        <f aca="false">VLOOKUP(A17,saisie!B$7:AL$26,28,0)</f>
        <v>#N/A</v>
      </c>
      <c r="AC17" s="129" t="e">
        <f aca="false">VLOOKUP(A17,saisie!B$7:AL$26,29,0)</f>
        <v>#N/A</v>
      </c>
      <c r="AD17" s="129" t="e">
        <f aca="false">VLOOKUP(A17,saisie!B$7:AL$26,30,0)</f>
        <v>#N/A</v>
      </c>
      <c r="AE17" s="129" t="e">
        <f aca="false">VLOOKUP(A17,saisie!B$7:AL$26,31,0)</f>
        <v>#N/A</v>
      </c>
      <c r="AF17" s="130" t="e">
        <f aca="false">VLOOKUP(A17,saisie!B$7:AL$26,32,0)</f>
        <v>#N/A</v>
      </c>
      <c r="AG17" s="131" t="e">
        <f aca="false">VLOOKUP(A17,saisie!B$7:AL$26,33,0)</f>
        <v>#N/A</v>
      </c>
      <c r="AH17" s="132" t="e">
        <f aca="false">VLOOKUP(A17,saisie!B$7:AL$26,34,0)</f>
        <v>#N/A</v>
      </c>
      <c r="AI17" s="133" t="e">
        <f aca="false">VLOOKUP(A17,saisie!B$7:AL$26,35,0)</f>
        <v>#N/A</v>
      </c>
      <c r="AJ17" s="134"/>
    </row>
    <row r="18" s="107" customFormat="true" ht="153" hidden="false" customHeight="true" outlineLevel="0" collapsed="false">
      <c r="A18" s="125" t="str">
        <f aca="false">IF(INFO!B8&gt;11,12,"")</f>
        <v/>
      </c>
      <c r="B18" s="126" t="e">
        <f aca="false">VLOOKUP(A18,saisie!B$7:AL$26,2,0)</f>
        <v>#N/A</v>
      </c>
      <c r="C18" s="127" t="e">
        <f aca="false">VLOOKUP(A18,saisie!B$7:AL$26,3,0)</f>
        <v>#N/A</v>
      </c>
      <c r="D18" s="128" t="e">
        <f aca="false">VLOOKUP(A18,saisie!B$7:AL$26,4,0)</f>
        <v>#N/A</v>
      </c>
      <c r="E18" s="129" t="e">
        <f aca="false">VLOOKUP(A18,saisie!B$7:AL$26,5,0)</f>
        <v>#N/A</v>
      </c>
      <c r="F18" s="129" t="e">
        <f aca="false">VLOOKUP(A18,saisie!B$7:AL$26,6,0)</f>
        <v>#N/A</v>
      </c>
      <c r="G18" s="129" t="e">
        <f aca="false">VLOOKUP(A18,saisie!B$7:AL$26,7,0)</f>
        <v>#N/A</v>
      </c>
      <c r="H18" s="130" t="e">
        <f aca="false">VLOOKUP(A18,saisie!B$7:AL$26,8,0)</f>
        <v>#N/A</v>
      </c>
      <c r="I18" s="131" t="e">
        <f aca="false">VLOOKUP(A18,saisie!B$7:AL$26,9,0)</f>
        <v>#N/A</v>
      </c>
      <c r="J18" s="128" t="e">
        <f aca="false">VLOOKUP(A18,saisie!B$7:AL$26,10,0)</f>
        <v>#N/A</v>
      </c>
      <c r="K18" s="129" t="e">
        <f aca="false">VLOOKUP(A18,saisie!B$7:AL$26,11,0)</f>
        <v>#N/A</v>
      </c>
      <c r="L18" s="129" t="e">
        <f aca="false">VLOOKUP(A18,saisie!B$7:AL$26,12,0)</f>
        <v>#N/A</v>
      </c>
      <c r="M18" s="129" t="e">
        <f aca="false">VLOOKUP(A18,saisie!B$7:AL$26,13,0)</f>
        <v>#N/A</v>
      </c>
      <c r="N18" s="130" t="e">
        <f aca="false">VLOOKUP(A18,saisie!B$7:AL$26,14,0)</f>
        <v>#N/A</v>
      </c>
      <c r="O18" s="131" t="e">
        <f aca="false">VLOOKUP(A18,saisie!B$7:AL$26,15,0)</f>
        <v>#N/A</v>
      </c>
      <c r="P18" s="128" t="e">
        <f aca="false">VLOOKUP(A18,saisie!B$7:AL$26,16,0)</f>
        <v>#N/A</v>
      </c>
      <c r="Q18" s="129" t="e">
        <f aca="false">VLOOKUP(A18,saisie!B$7:AL$26,17,0)</f>
        <v>#N/A</v>
      </c>
      <c r="R18" s="129" t="e">
        <f aca="false">VLOOKUP(A18,saisie!B$7:AL$26,18,0)</f>
        <v>#N/A</v>
      </c>
      <c r="S18" s="129" t="e">
        <f aca="false">VLOOKUP(A18,saisie!B$7:AL$26,19,0)</f>
        <v>#N/A</v>
      </c>
      <c r="T18" s="130" t="e">
        <f aca="false">VLOOKUP(A18,saisie!B$7:AL$26,20,0)</f>
        <v>#N/A</v>
      </c>
      <c r="U18" s="131" t="e">
        <f aca="false">VLOOKUP(A18,saisie!B$7:AL$26,21,0)</f>
        <v>#N/A</v>
      </c>
      <c r="V18" s="128" t="e">
        <f aca="false">VLOOKUP(A18,saisie!B$7:AL$26,22,0)</f>
        <v>#N/A</v>
      </c>
      <c r="W18" s="129" t="e">
        <f aca="false">VLOOKUP(A18,saisie!B$7:AL$26,23,0)</f>
        <v>#N/A</v>
      </c>
      <c r="X18" s="129" t="e">
        <f aca="false">VLOOKUP(A18,saisie!B$7:AL$26,24,0)</f>
        <v>#N/A</v>
      </c>
      <c r="Y18" s="129" t="e">
        <f aca="false">VLOOKUP(A18,saisie!B$7:AL$26,25,0)</f>
        <v>#N/A</v>
      </c>
      <c r="Z18" s="130" t="e">
        <f aca="false">VLOOKUP(A18,saisie!B$7:AL$26,26,0)</f>
        <v>#N/A</v>
      </c>
      <c r="AA18" s="131" t="e">
        <f aca="false">VLOOKUP(A18,saisie!B$7:AL$26,27,0)</f>
        <v>#N/A</v>
      </c>
      <c r="AB18" s="128" t="e">
        <f aca="false">VLOOKUP(A18,saisie!B$7:AL$26,28,0)</f>
        <v>#N/A</v>
      </c>
      <c r="AC18" s="129" t="e">
        <f aca="false">VLOOKUP(A18,saisie!B$7:AL$26,29,0)</f>
        <v>#N/A</v>
      </c>
      <c r="AD18" s="129" t="e">
        <f aca="false">VLOOKUP(A18,saisie!B$7:AL$26,30,0)</f>
        <v>#N/A</v>
      </c>
      <c r="AE18" s="129" t="e">
        <f aca="false">VLOOKUP(A18,saisie!B$7:AL$26,31,0)</f>
        <v>#N/A</v>
      </c>
      <c r="AF18" s="130" t="e">
        <f aca="false">VLOOKUP(A18,saisie!B$7:AL$26,32,0)</f>
        <v>#N/A</v>
      </c>
      <c r="AG18" s="131" t="e">
        <f aca="false">VLOOKUP(A18,saisie!B$7:AL$26,33,0)</f>
        <v>#N/A</v>
      </c>
      <c r="AH18" s="132" t="e">
        <f aca="false">VLOOKUP(A18,saisie!B$7:AL$26,34,0)</f>
        <v>#N/A</v>
      </c>
      <c r="AI18" s="133" t="e">
        <f aca="false">VLOOKUP(A18,saisie!B$7:AL$26,35,0)</f>
        <v>#N/A</v>
      </c>
      <c r="AJ18" s="134"/>
    </row>
    <row r="19" s="107" customFormat="true" ht="153" hidden="false" customHeight="true" outlineLevel="0" collapsed="false">
      <c r="A19" s="125" t="str">
        <f aca="false">IF(INFO!B8&gt;12,13,"")</f>
        <v/>
      </c>
      <c r="B19" s="126" t="e">
        <f aca="false">VLOOKUP(A19,saisie!B$7:AL$26,2,0)</f>
        <v>#N/A</v>
      </c>
      <c r="C19" s="127" t="e">
        <f aca="false">VLOOKUP(A19,saisie!B$7:AL$26,3,0)</f>
        <v>#N/A</v>
      </c>
      <c r="D19" s="128" t="e">
        <f aca="false">VLOOKUP(A19,saisie!B$7:AL$26,4,0)</f>
        <v>#N/A</v>
      </c>
      <c r="E19" s="129" t="e">
        <f aca="false">VLOOKUP(A19,saisie!B$7:AL$26,5,0)</f>
        <v>#N/A</v>
      </c>
      <c r="F19" s="129" t="e">
        <f aca="false">VLOOKUP(A19,saisie!B$7:AL$26,6,0)</f>
        <v>#N/A</v>
      </c>
      <c r="G19" s="129" t="e">
        <f aca="false">VLOOKUP(A19,saisie!B$7:AL$26,7,0)</f>
        <v>#N/A</v>
      </c>
      <c r="H19" s="130" t="e">
        <f aca="false">VLOOKUP(A19,saisie!B$7:AL$26,8,0)</f>
        <v>#N/A</v>
      </c>
      <c r="I19" s="131" t="e">
        <f aca="false">VLOOKUP(A19,saisie!B$7:AL$26,9,0)</f>
        <v>#N/A</v>
      </c>
      <c r="J19" s="128" t="e">
        <f aca="false">VLOOKUP(A19,saisie!B$7:AL$26,10,0)</f>
        <v>#N/A</v>
      </c>
      <c r="K19" s="129" t="e">
        <f aca="false">VLOOKUP(A19,saisie!B$7:AL$26,11,0)</f>
        <v>#N/A</v>
      </c>
      <c r="L19" s="129" t="e">
        <f aca="false">VLOOKUP(A19,saisie!B$7:AL$26,12,0)</f>
        <v>#N/A</v>
      </c>
      <c r="M19" s="129" t="e">
        <f aca="false">VLOOKUP(A19,saisie!B$7:AL$26,13,0)</f>
        <v>#N/A</v>
      </c>
      <c r="N19" s="130" t="e">
        <f aca="false">VLOOKUP(A19,saisie!B$7:AL$26,14,0)</f>
        <v>#N/A</v>
      </c>
      <c r="O19" s="131" t="e">
        <f aca="false">VLOOKUP(A19,saisie!B$7:AL$26,15,0)</f>
        <v>#N/A</v>
      </c>
      <c r="P19" s="128" t="e">
        <f aca="false">VLOOKUP(A19,saisie!B$7:AL$26,16,0)</f>
        <v>#N/A</v>
      </c>
      <c r="Q19" s="129" t="e">
        <f aca="false">VLOOKUP(A19,saisie!B$7:AL$26,17,0)</f>
        <v>#N/A</v>
      </c>
      <c r="R19" s="129" t="e">
        <f aca="false">VLOOKUP(A19,saisie!B$7:AL$26,18,0)</f>
        <v>#N/A</v>
      </c>
      <c r="S19" s="129" t="e">
        <f aca="false">VLOOKUP(A19,saisie!B$7:AL$26,19,0)</f>
        <v>#N/A</v>
      </c>
      <c r="T19" s="130" t="e">
        <f aca="false">VLOOKUP(A19,saisie!B$7:AL$26,20,0)</f>
        <v>#N/A</v>
      </c>
      <c r="U19" s="131" t="e">
        <f aca="false">VLOOKUP(A19,saisie!B$7:AL$26,21,0)</f>
        <v>#N/A</v>
      </c>
      <c r="V19" s="128" t="e">
        <f aca="false">VLOOKUP(A19,saisie!B$7:AL$26,22,0)</f>
        <v>#N/A</v>
      </c>
      <c r="W19" s="129" t="e">
        <f aca="false">VLOOKUP(A19,saisie!B$7:AL$26,23,0)</f>
        <v>#N/A</v>
      </c>
      <c r="X19" s="129" t="e">
        <f aca="false">VLOOKUP(A19,saisie!B$7:AL$26,24,0)</f>
        <v>#N/A</v>
      </c>
      <c r="Y19" s="129" t="e">
        <f aca="false">VLOOKUP(A19,saisie!B$7:AL$26,25,0)</f>
        <v>#N/A</v>
      </c>
      <c r="Z19" s="130" t="e">
        <f aca="false">VLOOKUP(A19,saisie!B$7:AL$26,26,0)</f>
        <v>#N/A</v>
      </c>
      <c r="AA19" s="131" t="e">
        <f aca="false">VLOOKUP(A19,saisie!B$7:AL$26,27,0)</f>
        <v>#N/A</v>
      </c>
      <c r="AB19" s="128" t="e">
        <f aca="false">VLOOKUP(A19,saisie!B$7:AL$26,28,0)</f>
        <v>#N/A</v>
      </c>
      <c r="AC19" s="129" t="e">
        <f aca="false">VLOOKUP(A19,saisie!B$7:AL$26,29,0)</f>
        <v>#N/A</v>
      </c>
      <c r="AD19" s="129" t="e">
        <f aca="false">VLOOKUP(A19,saisie!B$7:AL$26,30,0)</f>
        <v>#N/A</v>
      </c>
      <c r="AE19" s="129" t="e">
        <f aca="false">VLOOKUP(A19,saisie!B$7:AL$26,31,0)</f>
        <v>#N/A</v>
      </c>
      <c r="AF19" s="130" t="e">
        <f aca="false">VLOOKUP(A19,saisie!B$7:AL$26,32,0)</f>
        <v>#N/A</v>
      </c>
      <c r="AG19" s="131" t="e">
        <f aca="false">VLOOKUP(A19,saisie!B$7:AL$26,33,0)</f>
        <v>#N/A</v>
      </c>
      <c r="AH19" s="132" t="e">
        <f aca="false">VLOOKUP(A19,saisie!B$7:AL$26,34,0)</f>
        <v>#N/A</v>
      </c>
      <c r="AI19" s="133" t="e">
        <f aca="false">VLOOKUP(A19,saisie!B$7:AL$26,35,0)</f>
        <v>#N/A</v>
      </c>
      <c r="AJ19" s="134"/>
    </row>
    <row r="20" s="107" customFormat="true" ht="153" hidden="false" customHeight="true" outlineLevel="0" collapsed="false">
      <c r="A20" s="125" t="str">
        <f aca="false">IF(INFO!B8&gt;13,14,"")</f>
        <v/>
      </c>
      <c r="B20" s="126" t="e">
        <f aca="false">VLOOKUP(A20,saisie!B$7:AL$26,2,0)</f>
        <v>#N/A</v>
      </c>
      <c r="C20" s="127" t="e">
        <f aca="false">VLOOKUP(A20,saisie!B$7:AL$26,3,0)</f>
        <v>#N/A</v>
      </c>
      <c r="D20" s="128" t="e">
        <f aca="false">VLOOKUP(A20,saisie!B$7:AL$26,4,0)</f>
        <v>#N/A</v>
      </c>
      <c r="E20" s="129" t="e">
        <f aca="false">VLOOKUP(A20,saisie!B$7:AL$26,5,0)</f>
        <v>#N/A</v>
      </c>
      <c r="F20" s="129" t="e">
        <f aca="false">VLOOKUP(A20,saisie!B$7:AL$26,6,0)</f>
        <v>#N/A</v>
      </c>
      <c r="G20" s="129" t="e">
        <f aca="false">VLOOKUP(A20,saisie!B$7:AL$26,7,0)</f>
        <v>#N/A</v>
      </c>
      <c r="H20" s="130" t="e">
        <f aca="false">VLOOKUP(A20,saisie!B$7:AL$26,8,0)</f>
        <v>#N/A</v>
      </c>
      <c r="I20" s="131" t="e">
        <f aca="false">VLOOKUP(A20,saisie!B$7:AL$26,9,0)</f>
        <v>#N/A</v>
      </c>
      <c r="J20" s="128" t="e">
        <f aca="false">VLOOKUP(A20,saisie!B$7:AL$26,10,0)</f>
        <v>#N/A</v>
      </c>
      <c r="K20" s="129" t="e">
        <f aca="false">VLOOKUP(A20,saisie!B$7:AL$26,11,0)</f>
        <v>#N/A</v>
      </c>
      <c r="L20" s="129" t="e">
        <f aca="false">VLOOKUP(A20,saisie!B$7:AL$26,12,0)</f>
        <v>#N/A</v>
      </c>
      <c r="M20" s="129" t="e">
        <f aca="false">VLOOKUP(A20,saisie!B$7:AL$26,13,0)</f>
        <v>#N/A</v>
      </c>
      <c r="N20" s="130" t="e">
        <f aca="false">VLOOKUP(A20,saisie!B$7:AL$26,14,0)</f>
        <v>#N/A</v>
      </c>
      <c r="O20" s="131" t="e">
        <f aca="false">VLOOKUP(A20,saisie!B$7:AL$26,15,0)</f>
        <v>#N/A</v>
      </c>
      <c r="P20" s="128" t="e">
        <f aca="false">VLOOKUP(A20,saisie!B$7:AL$26,16,0)</f>
        <v>#N/A</v>
      </c>
      <c r="Q20" s="129" t="e">
        <f aca="false">VLOOKUP(A20,saisie!B$7:AL$26,17,0)</f>
        <v>#N/A</v>
      </c>
      <c r="R20" s="129" t="e">
        <f aca="false">VLOOKUP(A20,saisie!B$7:AL$26,18,0)</f>
        <v>#N/A</v>
      </c>
      <c r="S20" s="129" t="e">
        <f aca="false">VLOOKUP(A20,saisie!B$7:AL$26,19,0)</f>
        <v>#N/A</v>
      </c>
      <c r="T20" s="130" t="e">
        <f aca="false">VLOOKUP(A20,saisie!B$7:AL$26,20,0)</f>
        <v>#N/A</v>
      </c>
      <c r="U20" s="131" t="e">
        <f aca="false">VLOOKUP(A20,saisie!B$7:AL$26,21,0)</f>
        <v>#N/A</v>
      </c>
      <c r="V20" s="128" t="e">
        <f aca="false">VLOOKUP(A20,saisie!B$7:AL$26,22,0)</f>
        <v>#N/A</v>
      </c>
      <c r="W20" s="129" t="e">
        <f aca="false">VLOOKUP(A20,saisie!B$7:AL$26,23,0)</f>
        <v>#N/A</v>
      </c>
      <c r="X20" s="129" t="e">
        <f aca="false">VLOOKUP(A20,saisie!B$7:AL$26,24,0)</f>
        <v>#N/A</v>
      </c>
      <c r="Y20" s="129" t="e">
        <f aca="false">VLOOKUP(A20,saisie!B$7:AL$26,25,0)</f>
        <v>#N/A</v>
      </c>
      <c r="Z20" s="130" t="e">
        <f aca="false">VLOOKUP(A20,saisie!B$7:AL$26,26,0)</f>
        <v>#N/A</v>
      </c>
      <c r="AA20" s="131" t="e">
        <f aca="false">VLOOKUP(A20,saisie!B$7:AL$26,27,0)</f>
        <v>#N/A</v>
      </c>
      <c r="AB20" s="128" t="e">
        <f aca="false">VLOOKUP(A20,saisie!B$7:AL$26,28,0)</f>
        <v>#N/A</v>
      </c>
      <c r="AC20" s="129" t="e">
        <f aca="false">VLOOKUP(A20,saisie!B$7:AL$26,29,0)</f>
        <v>#N/A</v>
      </c>
      <c r="AD20" s="129" t="e">
        <f aca="false">VLOOKUP(A20,saisie!B$7:AL$26,30,0)</f>
        <v>#N/A</v>
      </c>
      <c r="AE20" s="129" t="e">
        <f aca="false">VLOOKUP(A20,saisie!B$7:AL$26,31,0)</f>
        <v>#N/A</v>
      </c>
      <c r="AF20" s="130" t="e">
        <f aca="false">VLOOKUP(A20,saisie!B$7:AL$26,32,0)</f>
        <v>#N/A</v>
      </c>
      <c r="AG20" s="131" t="e">
        <f aca="false">VLOOKUP(A20,saisie!B$7:AL$26,33,0)</f>
        <v>#N/A</v>
      </c>
      <c r="AH20" s="132" t="e">
        <f aca="false">VLOOKUP(A20,saisie!B$7:AL$26,34,0)</f>
        <v>#N/A</v>
      </c>
      <c r="AI20" s="133" t="e">
        <f aca="false">VLOOKUP(A20,saisie!B$7:AL$26,35,0)</f>
        <v>#N/A</v>
      </c>
      <c r="AJ20" s="134"/>
    </row>
    <row r="21" s="107" customFormat="true" ht="153" hidden="false" customHeight="true" outlineLevel="0" collapsed="false">
      <c r="A21" s="125" t="str">
        <f aca="false">IF(INFO!B8&gt;14,15,"")</f>
        <v/>
      </c>
      <c r="B21" s="126" t="e">
        <f aca="false">VLOOKUP(A21,saisie!B$7:AL$26,2,0)</f>
        <v>#N/A</v>
      </c>
      <c r="C21" s="127" t="e">
        <f aca="false">VLOOKUP(A21,saisie!B$7:AL$26,3,0)</f>
        <v>#N/A</v>
      </c>
      <c r="D21" s="128" t="e">
        <f aca="false">VLOOKUP(A21,saisie!B$7:AL$26,4,0)</f>
        <v>#N/A</v>
      </c>
      <c r="E21" s="129" t="e">
        <f aca="false">VLOOKUP(A21,saisie!B$7:AL$26,5,0)</f>
        <v>#N/A</v>
      </c>
      <c r="F21" s="129" t="e">
        <f aca="false">VLOOKUP(A21,saisie!B$7:AL$26,6,0)</f>
        <v>#N/A</v>
      </c>
      <c r="G21" s="129" t="e">
        <f aca="false">VLOOKUP(A21,saisie!B$7:AL$26,7,0)</f>
        <v>#N/A</v>
      </c>
      <c r="H21" s="130" t="e">
        <f aca="false">VLOOKUP(A21,saisie!B$7:AL$26,8,0)</f>
        <v>#N/A</v>
      </c>
      <c r="I21" s="131" t="e">
        <f aca="false">VLOOKUP(A21,saisie!B$7:AL$26,9,0)</f>
        <v>#N/A</v>
      </c>
      <c r="J21" s="128" t="e">
        <f aca="false">VLOOKUP(A21,saisie!B$7:AL$26,10,0)</f>
        <v>#N/A</v>
      </c>
      <c r="K21" s="129" t="e">
        <f aca="false">VLOOKUP(A21,saisie!B$7:AL$26,11,0)</f>
        <v>#N/A</v>
      </c>
      <c r="L21" s="129" t="e">
        <f aca="false">VLOOKUP(A21,saisie!B$7:AL$26,12,0)</f>
        <v>#N/A</v>
      </c>
      <c r="M21" s="129" t="e">
        <f aca="false">VLOOKUP(A21,saisie!B$7:AL$26,13,0)</f>
        <v>#N/A</v>
      </c>
      <c r="N21" s="130" t="e">
        <f aca="false">VLOOKUP(A21,saisie!B$7:AL$26,14,0)</f>
        <v>#N/A</v>
      </c>
      <c r="O21" s="131" t="e">
        <f aca="false">VLOOKUP(A21,saisie!B$7:AL$26,15,0)</f>
        <v>#N/A</v>
      </c>
      <c r="P21" s="128" t="e">
        <f aca="false">VLOOKUP(A21,saisie!B$7:AL$26,16,0)</f>
        <v>#N/A</v>
      </c>
      <c r="Q21" s="129" t="e">
        <f aca="false">VLOOKUP(A21,saisie!B$7:AL$26,17,0)</f>
        <v>#N/A</v>
      </c>
      <c r="R21" s="129" t="e">
        <f aca="false">VLOOKUP(A21,saisie!B$7:AL$26,18,0)</f>
        <v>#N/A</v>
      </c>
      <c r="S21" s="129" t="e">
        <f aca="false">VLOOKUP(A21,saisie!B$7:AL$26,19,0)</f>
        <v>#N/A</v>
      </c>
      <c r="T21" s="130" t="e">
        <f aca="false">VLOOKUP(A21,saisie!B$7:AL$26,20,0)</f>
        <v>#N/A</v>
      </c>
      <c r="U21" s="131" t="e">
        <f aca="false">VLOOKUP(A21,saisie!B$7:AL$26,21,0)</f>
        <v>#N/A</v>
      </c>
      <c r="V21" s="128" t="e">
        <f aca="false">VLOOKUP(A21,saisie!B$7:AL$26,22,0)</f>
        <v>#N/A</v>
      </c>
      <c r="W21" s="129" t="e">
        <f aca="false">VLOOKUP(A21,saisie!B$7:AL$26,23,0)</f>
        <v>#N/A</v>
      </c>
      <c r="X21" s="129" t="e">
        <f aca="false">VLOOKUP(A21,saisie!B$7:AL$26,24,0)</f>
        <v>#N/A</v>
      </c>
      <c r="Y21" s="129" t="e">
        <f aca="false">VLOOKUP(A21,saisie!B$7:AL$26,25,0)</f>
        <v>#N/A</v>
      </c>
      <c r="Z21" s="130" t="e">
        <f aca="false">VLOOKUP(A21,saisie!B$7:AL$26,26,0)</f>
        <v>#N/A</v>
      </c>
      <c r="AA21" s="131" t="e">
        <f aca="false">VLOOKUP(A21,saisie!B$7:AL$26,27,0)</f>
        <v>#N/A</v>
      </c>
      <c r="AB21" s="128" t="e">
        <f aca="false">VLOOKUP(A21,saisie!B$7:AL$26,28,0)</f>
        <v>#N/A</v>
      </c>
      <c r="AC21" s="129" t="e">
        <f aca="false">VLOOKUP(A21,saisie!B$7:AL$26,29,0)</f>
        <v>#N/A</v>
      </c>
      <c r="AD21" s="129" t="e">
        <f aca="false">VLOOKUP(A21,saisie!B$7:AL$26,30,0)</f>
        <v>#N/A</v>
      </c>
      <c r="AE21" s="129" t="e">
        <f aca="false">VLOOKUP(A21,saisie!B$7:AL$26,31,0)</f>
        <v>#N/A</v>
      </c>
      <c r="AF21" s="130" t="e">
        <f aca="false">VLOOKUP(A21,saisie!B$7:AL$26,32,0)</f>
        <v>#N/A</v>
      </c>
      <c r="AG21" s="131" t="e">
        <f aca="false">VLOOKUP(A21,saisie!B$7:AL$26,33,0)</f>
        <v>#N/A</v>
      </c>
      <c r="AH21" s="132" t="e">
        <f aca="false">VLOOKUP(A21,saisie!B$7:AL$26,34,0)</f>
        <v>#N/A</v>
      </c>
      <c r="AI21" s="133" t="e">
        <f aca="false">VLOOKUP(A21,saisie!B$7:AL$26,35,0)</f>
        <v>#N/A</v>
      </c>
      <c r="AJ21" s="134"/>
    </row>
    <row r="22" s="107" customFormat="true" ht="153" hidden="false" customHeight="true" outlineLevel="0" collapsed="false">
      <c r="A22" s="125" t="str">
        <f aca="false">IF(INFO!B8&gt;15,16,"")</f>
        <v/>
      </c>
      <c r="B22" s="126" t="e">
        <f aca="false">VLOOKUP(A22,saisie!B$7:AL$26,2,0)</f>
        <v>#N/A</v>
      </c>
      <c r="C22" s="127" t="e">
        <f aca="false">VLOOKUP(A22,saisie!B$7:AL$26,3,0)</f>
        <v>#N/A</v>
      </c>
      <c r="D22" s="128" t="e">
        <f aca="false">VLOOKUP(A22,saisie!B$7:AL$26,4,0)</f>
        <v>#N/A</v>
      </c>
      <c r="E22" s="129" t="e">
        <f aca="false">VLOOKUP(A22,saisie!B$7:AL$26,5,0)</f>
        <v>#N/A</v>
      </c>
      <c r="F22" s="129" t="e">
        <f aca="false">VLOOKUP(A22,saisie!B$7:AL$26,6,0)</f>
        <v>#N/A</v>
      </c>
      <c r="G22" s="129" t="e">
        <f aca="false">VLOOKUP(A22,saisie!B$7:AL$26,7,0)</f>
        <v>#N/A</v>
      </c>
      <c r="H22" s="130" t="e">
        <f aca="false">VLOOKUP(A22,saisie!B$7:AL$26,8,0)</f>
        <v>#N/A</v>
      </c>
      <c r="I22" s="131" t="e">
        <f aca="false">VLOOKUP(A22,saisie!B$7:AL$26,9,0)</f>
        <v>#N/A</v>
      </c>
      <c r="J22" s="128" t="e">
        <f aca="false">VLOOKUP(A22,saisie!B$7:AL$26,10,0)</f>
        <v>#N/A</v>
      </c>
      <c r="K22" s="129" t="e">
        <f aca="false">VLOOKUP(A22,saisie!B$7:AL$26,11,0)</f>
        <v>#N/A</v>
      </c>
      <c r="L22" s="129" t="e">
        <f aca="false">VLOOKUP(A22,saisie!B$7:AL$26,12,0)</f>
        <v>#N/A</v>
      </c>
      <c r="M22" s="129" t="e">
        <f aca="false">VLOOKUP(A22,saisie!B$7:AL$26,13,0)</f>
        <v>#N/A</v>
      </c>
      <c r="N22" s="130" t="e">
        <f aca="false">VLOOKUP(A22,saisie!B$7:AL$26,14,0)</f>
        <v>#N/A</v>
      </c>
      <c r="O22" s="131" t="e">
        <f aca="false">VLOOKUP(A22,saisie!B$7:AL$26,15,0)</f>
        <v>#N/A</v>
      </c>
      <c r="P22" s="128" t="e">
        <f aca="false">VLOOKUP(A22,saisie!B$7:AL$26,16,0)</f>
        <v>#N/A</v>
      </c>
      <c r="Q22" s="129" t="e">
        <f aca="false">VLOOKUP(A22,saisie!B$7:AL$26,17,0)</f>
        <v>#N/A</v>
      </c>
      <c r="R22" s="129" t="e">
        <f aca="false">VLOOKUP(A22,saisie!B$7:AL$26,18,0)</f>
        <v>#N/A</v>
      </c>
      <c r="S22" s="129" t="e">
        <f aca="false">VLOOKUP(A22,saisie!B$7:AL$26,19,0)</f>
        <v>#N/A</v>
      </c>
      <c r="T22" s="130" t="e">
        <f aca="false">VLOOKUP(A22,saisie!B$7:AL$26,20,0)</f>
        <v>#N/A</v>
      </c>
      <c r="U22" s="131" t="e">
        <f aca="false">VLOOKUP(A22,saisie!B$7:AL$26,21,0)</f>
        <v>#N/A</v>
      </c>
      <c r="V22" s="128" t="e">
        <f aca="false">VLOOKUP(A22,saisie!B$7:AL$26,22,0)</f>
        <v>#N/A</v>
      </c>
      <c r="W22" s="129" t="e">
        <f aca="false">VLOOKUP(A22,saisie!B$7:AL$26,23,0)</f>
        <v>#N/A</v>
      </c>
      <c r="X22" s="129" t="e">
        <f aca="false">VLOOKUP(A22,saisie!B$7:AL$26,24,0)</f>
        <v>#N/A</v>
      </c>
      <c r="Y22" s="129" t="e">
        <f aca="false">VLOOKUP(A22,saisie!B$7:AL$26,25,0)</f>
        <v>#N/A</v>
      </c>
      <c r="Z22" s="130" t="e">
        <f aca="false">VLOOKUP(A22,saisie!B$7:AL$26,26,0)</f>
        <v>#N/A</v>
      </c>
      <c r="AA22" s="131" t="e">
        <f aca="false">VLOOKUP(A22,saisie!B$7:AL$26,27,0)</f>
        <v>#N/A</v>
      </c>
      <c r="AB22" s="128" t="e">
        <f aca="false">VLOOKUP(A22,saisie!B$7:AL$26,28,0)</f>
        <v>#N/A</v>
      </c>
      <c r="AC22" s="129" t="e">
        <f aca="false">VLOOKUP(A22,saisie!B$7:AL$26,29,0)</f>
        <v>#N/A</v>
      </c>
      <c r="AD22" s="129" t="e">
        <f aca="false">VLOOKUP(A22,saisie!B$7:AL$26,30,0)</f>
        <v>#N/A</v>
      </c>
      <c r="AE22" s="129" t="e">
        <f aca="false">VLOOKUP(A22,saisie!B$7:AL$26,31,0)</f>
        <v>#N/A</v>
      </c>
      <c r="AF22" s="130" t="e">
        <f aca="false">VLOOKUP(A22,saisie!B$7:AL$26,32,0)</f>
        <v>#N/A</v>
      </c>
      <c r="AG22" s="131" t="e">
        <f aca="false">VLOOKUP(A22,saisie!B$7:AL$26,33,0)</f>
        <v>#N/A</v>
      </c>
      <c r="AH22" s="132" t="e">
        <f aca="false">VLOOKUP(A22,saisie!B$7:AL$26,34,0)</f>
        <v>#N/A</v>
      </c>
      <c r="AI22" s="133" t="e">
        <f aca="false">VLOOKUP(A22,saisie!B$7:AL$26,35,0)</f>
        <v>#N/A</v>
      </c>
      <c r="AJ22" s="134"/>
    </row>
    <row r="23" s="107" customFormat="true" ht="153" hidden="false" customHeight="true" outlineLevel="0" collapsed="false">
      <c r="A23" s="125" t="str">
        <f aca="false">IF(INFO!B8&gt;16,17,"")</f>
        <v/>
      </c>
      <c r="B23" s="126" t="e">
        <f aca="false">VLOOKUP(A23,saisie!B$7:AL$26,2,0)</f>
        <v>#N/A</v>
      </c>
      <c r="C23" s="127" t="e">
        <f aca="false">VLOOKUP(A23,saisie!B$7:AL$26,3,0)</f>
        <v>#N/A</v>
      </c>
      <c r="D23" s="128" t="e">
        <f aca="false">VLOOKUP(A23,saisie!B$7:AL$26,4,0)</f>
        <v>#N/A</v>
      </c>
      <c r="E23" s="129" t="e">
        <f aca="false">VLOOKUP(A23,saisie!B$7:AL$26,5,0)</f>
        <v>#N/A</v>
      </c>
      <c r="F23" s="129" t="e">
        <f aca="false">VLOOKUP(A23,saisie!B$7:AL$26,6,0)</f>
        <v>#N/A</v>
      </c>
      <c r="G23" s="129" t="e">
        <f aca="false">VLOOKUP(A23,saisie!B$7:AL$26,7,0)</f>
        <v>#N/A</v>
      </c>
      <c r="H23" s="130" t="e">
        <f aca="false">VLOOKUP(A23,saisie!B$7:AL$26,8,0)</f>
        <v>#N/A</v>
      </c>
      <c r="I23" s="131" t="e">
        <f aca="false">VLOOKUP(A23,saisie!B$7:AL$26,9,0)</f>
        <v>#N/A</v>
      </c>
      <c r="J23" s="128" t="e">
        <f aca="false">VLOOKUP(A23,saisie!B$7:AL$26,10,0)</f>
        <v>#N/A</v>
      </c>
      <c r="K23" s="129" t="e">
        <f aca="false">VLOOKUP(A23,saisie!B$7:AL$26,11,0)</f>
        <v>#N/A</v>
      </c>
      <c r="L23" s="129" t="e">
        <f aca="false">VLOOKUP(A23,saisie!B$7:AL$26,12,0)</f>
        <v>#N/A</v>
      </c>
      <c r="M23" s="129" t="e">
        <f aca="false">VLOOKUP(A23,saisie!B$7:AL$26,13,0)</f>
        <v>#N/A</v>
      </c>
      <c r="N23" s="130" t="e">
        <f aca="false">VLOOKUP(A23,saisie!B$7:AL$26,14,0)</f>
        <v>#N/A</v>
      </c>
      <c r="O23" s="131" t="e">
        <f aca="false">VLOOKUP(A23,saisie!B$7:AL$26,15,0)</f>
        <v>#N/A</v>
      </c>
      <c r="P23" s="128" t="e">
        <f aca="false">VLOOKUP(A23,saisie!B$7:AL$26,16,0)</f>
        <v>#N/A</v>
      </c>
      <c r="Q23" s="129" t="e">
        <f aca="false">VLOOKUP(A23,saisie!B$7:AL$26,17,0)</f>
        <v>#N/A</v>
      </c>
      <c r="R23" s="129" t="e">
        <f aca="false">VLOOKUP(A23,saisie!B$7:AL$26,18,0)</f>
        <v>#N/A</v>
      </c>
      <c r="S23" s="129" t="e">
        <f aca="false">VLOOKUP(A23,saisie!B$7:AL$26,19,0)</f>
        <v>#N/A</v>
      </c>
      <c r="T23" s="130" t="e">
        <f aca="false">VLOOKUP(A23,saisie!B$7:AL$26,20,0)</f>
        <v>#N/A</v>
      </c>
      <c r="U23" s="131" t="e">
        <f aca="false">VLOOKUP(A23,saisie!B$7:AL$26,21,0)</f>
        <v>#N/A</v>
      </c>
      <c r="V23" s="128" t="e">
        <f aca="false">VLOOKUP(A23,saisie!B$7:AL$26,22,0)</f>
        <v>#N/A</v>
      </c>
      <c r="W23" s="129" t="e">
        <f aca="false">VLOOKUP(A23,saisie!B$7:AL$26,23,0)</f>
        <v>#N/A</v>
      </c>
      <c r="X23" s="129" t="e">
        <f aca="false">VLOOKUP(A23,saisie!B$7:AL$26,24,0)</f>
        <v>#N/A</v>
      </c>
      <c r="Y23" s="129" t="e">
        <f aca="false">VLOOKUP(A23,saisie!B$7:AL$26,25,0)</f>
        <v>#N/A</v>
      </c>
      <c r="Z23" s="130" t="e">
        <f aca="false">VLOOKUP(A23,saisie!B$7:AL$26,26,0)</f>
        <v>#N/A</v>
      </c>
      <c r="AA23" s="131" t="e">
        <f aca="false">VLOOKUP(A23,saisie!B$7:AL$26,27,0)</f>
        <v>#N/A</v>
      </c>
      <c r="AB23" s="128" t="e">
        <f aca="false">VLOOKUP(A23,saisie!B$7:AL$26,28,0)</f>
        <v>#N/A</v>
      </c>
      <c r="AC23" s="129" t="e">
        <f aca="false">VLOOKUP(A23,saisie!B$7:AL$26,29,0)</f>
        <v>#N/A</v>
      </c>
      <c r="AD23" s="129" t="e">
        <f aca="false">VLOOKUP(A23,saisie!B$7:AL$26,30,0)</f>
        <v>#N/A</v>
      </c>
      <c r="AE23" s="129" t="e">
        <f aca="false">VLOOKUP(A23,saisie!B$7:AL$26,31,0)</f>
        <v>#N/A</v>
      </c>
      <c r="AF23" s="130" t="e">
        <f aca="false">VLOOKUP(A23,saisie!B$7:AL$26,32,0)</f>
        <v>#N/A</v>
      </c>
      <c r="AG23" s="131" t="e">
        <f aca="false">VLOOKUP(A23,saisie!B$7:AL$26,33,0)</f>
        <v>#N/A</v>
      </c>
      <c r="AH23" s="132" t="e">
        <f aca="false">VLOOKUP(A23,saisie!B$7:AL$26,34,0)</f>
        <v>#N/A</v>
      </c>
      <c r="AI23" s="133" t="e">
        <f aca="false">VLOOKUP(A23,saisie!B$7:AL$26,35,0)</f>
        <v>#N/A</v>
      </c>
      <c r="AJ23" s="134"/>
    </row>
    <row r="24" s="107" customFormat="true" ht="153" hidden="false" customHeight="true" outlineLevel="0" collapsed="false">
      <c r="A24" s="125" t="str">
        <f aca="false">IF(INFO!B8&gt;17,18,"")</f>
        <v/>
      </c>
      <c r="B24" s="126" t="e">
        <f aca="false">VLOOKUP(A24,saisie!B$7:AL$26,2,0)</f>
        <v>#N/A</v>
      </c>
      <c r="C24" s="127" t="e">
        <f aca="false">VLOOKUP(A24,saisie!B$7:AL$26,3,0)</f>
        <v>#N/A</v>
      </c>
      <c r="D24" s="128" t="e">
        <f aca="false">VLOOKUP(A24,saisie!B$7:AL$26,4,0)</f>
        <v>#N/A</v>
      </c>
      <c r="E24" s="129" t="e">
        <f aca="false">VLOOKUP(A24,saisie!B$7:AL$26,5,0)</f>
        <v>#N/A</v>
      </c>
      <c r="F24" s="129" t="e">
        <f aca="false">VLOOKUP(A24,saisie!B$7:AL$26,6,0)</f>
        <v>#N/A</v>
      </c>
      <c r="G24" s="129" t="e">
        <f aca="false">VLOOKUP(A24,saisie!B$7:AL$26,7,0)</f>
        <v>#N/A</v>
      </c>
      <c r="H24" s="130" t="e">
        <f aca="false">VLOOKUP(A24,saisie!B$7:AL$26,8,0)</f>
        <v>#N/A</v>
      </c>
      <c r="I24" s="131" t="e">
        <f aca="false">VLOOKUP(A24,saisie!B$7:AL$26,9,0)</f>
        <v>#N/A</v>
      </c>
      <c r="J24" s="128" t="e">
        <f aca="false">VLOOKUP(A24,saisie!B$7:AL$26,10,0)</f>
        <v>#N/A</v>
      </c>
      <c r="K24" s="129" t="e">
        <f aca="false">VLOOKUP(A24,saisie!B$7:AL$26,11,0)</f>
        <v>#N/A</v>
      </c>
      <c r="L24" s="129" t="e">
        <f aca="false">VLOOKUP(A24,saisie!B$7:AL$26,12,0)</f>
        <v>#N/A</v>
      </c>
      <c r="M24" s="129" t="e">
        <f aca="false">VLOOKUP(A24,saisie!B$7:AL$26,13,0)</f>
        <v>#N/A</v>
      </c>
      <c r="N24" s="130" t="e">
        <f aca="false">VLOOKUP(A24,saisie!B$7:AL$26,14,0)</f>
        <v>#N/A</v>
      </c>
      <c r="O24" s="131" t="e">
        <f aca="false">VLOOKUP(A24,saisie!B$7:AL$26,15,0)</f>
        <v>#N/A</v>
      </c>
      <c r="P24" s="128" t="e">
        <f aca="false">VLOOKUP(A24,saisie!B$7:AL$26,16,0)</f>
        <v>#N/A</v>
      </c>
      <c r="Q24" s="129" t="e">
        <f aca="false">VLOOKUP(A24,saisie!B$7:AL$26,17,0)</f>
        <v>#N/A</v>
      </c>
      <c r="R24" s="129" t="e">
        <f aca="false">VLOOKUP(A24,saisie!B$7:AL$26,18,0)</f>
        <v>#N/A</v>
      </c>
      <c r="S24" s="129" t="e">
        <f aca="false">VLOOKUP(A24,saisie!B$7:AL$26,19,0)</f>
        <v>#N/A</v>
      </c>
      <c r="T24" s="130" t="e">
        <f aca="false">VLOOKUP(A24,saisie!B$7:AL$26,20,0)</f>
        <v>#N/A</v>
      </c>
      <c r="U24" s="131" t="e">
        <f aca="false">VLOOKUP(A24,saisie!B$7:AL$26,21,0)</f>
        <v>#N/A</v>
      </c>
      <c r="V24" s="128" t="e">
        <f aca="false">VLOOKUP(A24,saisie!B$7:AL$26,22,0)</f>
        <v>#N/A</v>
      </c>
      <c r="W24" s="129" t="e">
        <f aca="false">VLOOKUP(A24,saisie!B$7:AL$26,23,0)</f>
        <v>#N/A</v>
      </c>
      <c r="X24" s="129" t="e">
        <f aca="false">VLOOKUP(A24,saisie!B$7:AL$26,24,0)</f>
        <v>#N/A</v>
      </c>
      <c r="Y24" s="129" t="e">
        <f aca="false">VLOOKUP(A24,saisie!B$7:AL$26,25,0)</f>
        <v>#N/A</v>
      </c>
      <c r="Z24" s="130" t="e">
        <f aca="false">VLOOKUP(A24,saisie!B$7:AL$26,26,0)</f>
        <v>#N/A</v>
      </c>
      <c r="AA24" s="131" t="e">
        <f aca="false">VLOOKUP(A24,saisie!B$7:AL$26,27,0)</f>
        <v>#N/A</v>
      </c>
      <c r="AB24" s="128" t="e">
        <f aca="false">VLOOKUP(A24,saisie!B$7:AL$26,28,0)</f>
        <v>#N/A</v>
      </c>
      <c r="AC24" s="129" t="e">
        <f aca="false">VLOOKUP(A24,saisie!B$7:AL$26,29,0)</f>
        <v>#N/A</v>
      </c>
      <c r="AD24" s="129" t="e">
        <f aca="false">VLOOKUP(A24,saisie!B$7:AL$26,30,0)</f>
        <v>#N/A</v>
      </c>
      <c r="AE24" s="129" t="e">
        <f aca="false">VLOOKUP(A24,saisie!B$7:AL$26,31,0)</f>
        <v>#N/A</v>
      </c>
      <c r="AF24" s="130" t="e">
        <f aca="false">VLOOKUP(A24,saisie!B$7:AL$26,32,0)</f>
        <v>#N/A</v>
      </c>
      <c r="AG24" s="131" t="e">
        <f aca="false">VLOOKUP(A24,saisie!B$7:AL$26,33,0)</f>
        <v>#N/A</v>
      </c>
      <c r="AH24" s="132" t="e">
        <f aca="false">VLOOKUP(A24,saisie!B$7:AL$26,34,0)</f>
        <v>#N/A</v>
      </c>
      <c r="AI24" s="133" t="e">
        <f aca="false">VLOOKUP(A24,saisie!B$7:AL$26,35,0)</f>
        <v>#N/A</v>
      </c>
      <c r="AJ24" s="134"/>
    </row>
    <row r="25" s="107" customFormat="true" ht="153" hidden="false" customHeight="true" outlineLevel="0" collapsed="false">
      <c r="A25" s="125" t="str">
        <f aca="false">IF(INFO!B8&gt;18,19,"")</f>
        <v/>
      </c>
      <c r="B25" s="126" t="e">
        <f aca="false">VLOOKUP(A25,saisie!B$7:AL$26,2,0)</f>
        <v>#N/A</v>
      </c>
      <c r="C25" s="127" t="e">
        <f aca="false">VLOOKUP(A25,saisie!B$7:AL$26,3,0)</f>
        <v>#N/A</v>
      </c>
      <c r="D25" s="128" t="e">
        <f aca="false">VLOOKUP(A25,saisie!B$7:AL$26,4,0)</f>
        <v>#N/A</v>
      </c>
      <c r="E25" s="129" t="e">
        <f aca="false">VLOOKUP(A25,saisie!B$7:AL$26,5,0)</f>
        <v>#N/A</v>
      </c>
      <c r="F25" s="129" t="e">
        <f aca="false">VLOOKUP(A25,saisie!B$7:AL$26,6,0)</f>
        <v>#N/A</v>
      </c>
      <c r="G25" s="129" t="e">
        <f aca="false">VLOOKUP(A25,saisie!B$7:AL$26,7,0)</f>
        <v>#N/A</v>
      </c>
      <c r="H25" s="130" t="e">
        <f aca="false">VLOOKUP(A25,saisie!B$7:AL$26,8,0)</f>
        <v>#N/A</v>
      </c>
      <c r="I25" s="131" t="e">
        <f aca="false">VLOOKUP(A25,saisie!B$7:AL$26,9,0)</f>
        <v>#N/A</v>
      </c>
      <c r="J25" s="128" t="e">
        <f aca="false">VLOOKUP(A25,saisie!B$7:AL$26,10,0)</f>
        <v>#N/A</v>
      </c>
      <c r="K25" s="129" t="e">
        <f aca="false">VLOOKUP(A25,saisie!B$7:AL$26,11,0)</f>
        <v>#N/A</v>
      </c>
      <c r="L25" s="129" t="e">
        <f aca="false">VLOOKUP(A25,saisie!B$7:AL$26,12,0)</f>
        <v>#N/A</v>
      </c>
      <c r="M25" s="129" t="e">
        <f aca="false">VLOOKUP(A25,saisie!B$7:AL$26,13,0)</f>
        <v>#N/A</v>
      </c>
      <c r="N25" s="130" t="e">
        <f aca="false">VLOOKUP(A25,saisie!B$7:AL$26,14,0)</f>
        <v>#N/A</v>
      </c>
      <c r="O25" s="131" t="e">
        <f aca="false">VLOOKUP(A25,saisie!B$7:AL$26,15,0)</f>
        <v>#N/A</v>
      </c>
      <c r="P25" s="128" t="e">
        <f aca="false">VLOOKUP(A25,saisie!B$7:AL$26,16,0)</f>
        <v>#N/A</v>
      </c>
      <c r="Q25" s="129" t="e">
        <f aca="false">VLOOKUP(A25,saisie!B$7:AL$26,17,0)</f>
        <v>#N/A</v>
      </c>
      <c r="R25" s="129" t="e">
        <f aca="false">VLOOKUP(A25,saisie!B$7:AL$26,18,0)</f>
        <v>#N/A</v>
      </c>
      <c r="S25" s="129" t="e">
        <f aca="false">VLOOKUP(A25,saisie!B$7:AL$26,19,0)</f>
        <v>#N/A</v>
      </c>
      <c r="T25" s="130" t="e">
        <f aca="false">VLOOKUP(A25,saisie!B$7:AL$26,20,0)</f>
        <v>#N/A</v>
      </c>
      <c r="U25" s="131" t="e">
        <f aca="false">VLOOKUP(A25,saisie!B$7:AL$26,21,0)</f>
        <v>#N/A</v>
      </c>
      <c r="V25" s="128" t="e">
        <f aca="false">VLOOKUP(A25,saisie!B$7:AL$26,22,0)</f>
        <v>#N/A</v>
      </c>
      <c r="W25" s="129" t="e">
        <f aca="false">VLOOKUP(A25,saisie!B$7:AL$26,23,0)</f>
        <v>#N/A</v>
      </c>
      <c r="X25" s="129" t="e">
        <f aca="false">VLOOKUP(A25,saisie!B$7:AL$26,24,0)</f>
        <v>#N/A</v>
      </c>
      <c r="Y25" s="129" t="e">
        <f aca="false">VLOOKUP(A25,saisie!B$7:AL$26,25,0)</f>
        <v>#N/A</v>
      </c>
      <c r="Z25" s="130" t="e">
        <f aca="false">VLOOKUP(A25,saisie!B$7:AL$26,26,0)</f>
        <v>#N/A</v>
      </c>
      <c r="AA25" s="131" t="e">
        <f aca="false">VLOOKUP(A25,saisie!B$7:AL$26,27,0)</f>
        <v>#N/A</v>
      </c>
      <c r="AB25" s="128" t="e">
        <f aca="false">VLOOKUP(A25,saisie!B$7:AL$26,28,0)</f>
        <v>#N/A</v>
      </c>
      <c r="AC25" s="129" t="e">
        <f aca="false">VLOOKUP(A25,saisie!B$7:AL$26,29,0)</f>
        <v>#N/A</v>
      </c>
      <c r="AD25" s="129" t="e">
        <f aca="false">VLOOKUP(A25,saisie!B$7:AL$26,30,0)</f>
        <v>#N/A</v>
      </c>
      <c r="AE25" s="129" t="e">
        <f aca="false">VLOOKUP(A25,saisie!B$7:AL$26,31,0)</f>
        <v>#N/A</v>
      </c>
      <c r="AF25" s="130" t="e">
        <f aca="false">VLOOKUP(A25,saisie!B$7:AL$26,32,0)</f>
        <v>#N/A</v>
      </c>
      <c r="AG25" s="131" t="e">
        <f aca="false">VLOOKUP(A25,saisie!B$7:AL$26,33,0)</f>
        <v>#N/A</v>
      </c>
      <c r="AH25" s="132" t="e">
        <f aca="false">VLOOKUP(A25,saisie!B$7:AL$26,34,0)</f>
        <v>#N/A</v>
      </c>
      <c r="AI25" s="133" t="e">
        <f aca="false">VLOOKUP(A25,saisie!B$7:AL$26,35,0)</f>
        <v>#N/A</v>
      </c>
      <c r="AJ25" s="134"/>
    </row>
    <row r="26" s="107" customFormat="true" ht="153" hidden="false" customHeight="true" outlineLevel="0" collapsed="false">
      <c r="A26" s="125" t="str">
        <f aca="false">IF(INFO!B8&gt;19,20,"")</f>
        <v/>
      </c>
      <c r="B26" s="126" t="e">
        <f aca="false">VLOOKUP(A26,saisie!B$7:AL$26,2,0)</f>
        <v>#N/A</v>
      </c>
      <c r="C26" s="127" t="e">
        <f aca="false">VLOOKUP(A26,saisie!B$7:AL$26,3,0)</f>
        <v>#N/A</v>
      </c>
      <c r="D26" s="128" t="e">
        <f aca="false">VLOOKUP(A26,saisie!B$7:AL$26,4,0)</f>
        <v>#N/A</v>
      </c>
      <c r="E26" s="129" t="e">
        <f aca="false">VLOOKUP(A26,saisie!B$7:AL$26,5,0)</f>
        <v>#N/A</v>
      </c>
      <c r="F26" s="129" t="e">
        <f aca="false">VLOOKUP(A26,saisie!B$7:AL$26,6,0)</f>
        <v>#N/A</v>
      </c>
      <c r="G26" s="129" t="e">
        <f aca="false">VLOOKUP(A26,saisie!B$7:AL$26,7,0)</f>
        <v>#N/A</v>
      </c>
      <c r="H26" s="130" t="e">
        <f aca="false">VLOOKUP(A26,saisie!B$7:AL$26,8,0)</f>
        <v>#N/A</v>
      </c>
      <c r="I26" s="131" t="e">
        <f aca="false">VLOOKUP(A26,saisie!B$7:AL$26,9,0)</f>
        <v>#N/A</v>
      </c>
      <c r="J26" s="128" t="e">
        <f aca="false">VLOOKUP(A26,saisie!B$7:AL$26,10,0)</f>
        <v>#N/A</v>
      </c>
      <c r="K26" s="129" t="e">
        <f aca="false">VLOOKUP(A26,saisie!B$7:AL$26,11,0)</f>
        <v>#N/A</v>
      </c>
      <c r="L26" s="129" t="e">
        <f aca="false">VLOOKUP(A26,saisie!B$7:AL$26,12,0)</f>
        <v>#N/A</v>
      </c>
      <c r="M26" s="129" t="e">
        <f aca="false">VLOOKUP(A26,saisie!B$7:AL$26,13,0)</f>
        <v>#N/A</v>
      </c>
      <c r="N26" s="130" t="e">
        <f aca="false">VLOOKUP(A26,saisie!B$7:AL$26,14,0)</f>
        <v>#N/A</v>
      </c>
      <c r="O26" s="131" t="e">
        <f aca="false">VLOOKUP(A26,saisie!B$7:AL$26,15,0)</f>
        <v>#N/A</v>
      </c>
      <c r="P26" s="128" t="e">
        <f aca="false">VLOOKUP(A26,saisie!B$7:AL$26,16,0)</f>
        <v>#N/A</v>
      </c>
      <c r="Q26" s="129" t="e">
        <f aca="false">VLOOKUP(A26,saisie!B$7:AL$26,17,0)</f>
        <v>#N/A</v>
      </c>
      <c r="R26" s="129" t="e">
        <f aca="false">VLOOKUP(A26,saisie!B$7:AL$26,18,0)</f>
        <v>#N/A</v>
      </c>
      <c r="S26" s="129" t="e">
        <f aca="false">VLOOKUP(A26,saisie!B$7:AL$26,19,0)</f>
        <v>#N/A</v>
      </c>
      <c r="T26" s="130" t="e">
        <f aca="false">VLOOKUP(A26,saisie!B$7:AL$26,20,0)</f>
        <v>#N/A</v>
      </c>
      <c r="U26" s="131" t="e">
        <f aca="false">VLOOKUP(A26,saisie!B$7:AL$26,21,0)</f>
        <v>#N/A</v>
      </c>
      <c r="V26" s="128" t="e">
        <f aca="false">VLOOKUP(A26,saisie!B$7:AL$26,22,0)</f>
        <v>#N/A</v>
      </c>
      <c r="W26" s="129" t="e">
        <f aca="false">VLOOKUP(A26,saisie!B$7:AL$26,23,0)</f>
        <v>#N/A</v>
      </c>
      <c r="X26" s="129" t="e">
        <f aca="false">VLOOKUP(A26,saisie!B$7:AL$26,24,0)</f>
        <v>#N/A</v>
      </c>
      <c r="Y26" s="129" t="e">
        <f aca="false">VLOOKUP(A26,saisie!B$7:AL$26,25,0)</f>
        <v>#N/A</v>
      </c>
      <c r="Z26" s="130" t="e">
        <f aca="false">VLOOKUP(A26,saisie!B$7:AL$26,26,0)</f>
        <v>#N/A</v>
      </c>
      <c r="AA26" s="131" t="e">
        <f aca="false">VLOOKUP(A26,saisie!B$7:AL$26,27,0)</f>
        <v>#N/A</v>
      </c>
      <c r="AB26" s="128" t="e">
        <f aca="false">VLOOKUP(A26,saisie!B$7:AL$26,28,0)</f>
        <v>#N/A</v>
      </c>
      <c r="AC26" s="129" t="e">
        <f aca="false">VLOOKUP(A26,saisie!B$7:AL$26,29,0)</f>
        <v>#N/A</v>
      </c>
      <c r="AD26" s="129" t="e">
        <f aca="false">VLOOKUP(A26,saisie!B$7:AL$26,30,0)</f>
        <v>#N/A</v>
      </c>
      <c r="AE26" s="129" t="e">
        <f aca="false">VLOOKUP(A26,saisie!B$7:AL$26,31,0)</f>
        <v>#N/A</v>
      </c>
      <c r="AF26" s="130" t="e">
        <f aca="false">VLOOKUP(A26,saisie!B$7:AL$26,32,0)</f>
        <v>#N/A</v>
      </c>
      <c r="AG26" s="131" t="e">
        <f aca="false">VLOOKUP(A26,saisie!B$7:AL$26,33,0)</f>
        <v>#N/A</v>
      </c>
      <c r="AH26" s="132" t="e">
        <f aca="false">VLOOKUP(A26,saisie!B$7:AL$26,34,0)</f>
        <v>#N/A</v>
      </c>
      <c r="AI26" s="133" t="e">
        <f aca="false">VLOOKUP(A26,saisie!B$7:AL$26,35,0)</f>
        <v>#N/A</v>
      </c>
      <c r="AJ26" s="134"/>
    </row>
    <row r="27" s="107" customFormat="true" ht="109" hidden="false" customHeight="true" outlineLevel="0" collapsed="false">
      <c r="A27" s="135" t="str">
        <f aca="false">IF(INFO!B8&gt;20,21,"")</f>
        <v/>
      </c>
      <c r="B27" s="126" t="e">
        <f aca="false">VLOOKUP(A27,saisie!B$7:AL$26,2,0)</f>
        <v>#N/A</v>
      </c>
      <c r="C27" s="127" t="e">
        <f aca="false">VLOOKUP(A27,saisie!B$7:AL$26,3,0)</f>
        <v>#N/A</v>
      </c>
      <c r="D27" s="128" t="e">
        <f aca="false">VLOOKUP(A27,saisie!B$7:AL$26,4,0)</f>
        <v>#N/A</v>
      </c>
      <c r="E27" s="129" t="e">
        <f aca="false">VLOOKUP(A27,saisie!B$7:AL$26,5,0)</f>
        <v>#N/A</v>
      </c>
      <c r="F27" s="129" t="e">
        <f aca="false">VLOOKUP(A27,saisie!B$7:AL$26,6,0)</f>
        <v>#N/A</v>
      </c>
      <c r="G27" s="129" t="e">
        <f aca="false">VLOOKUP(A27,saisie!B$7:AL$26,7,0)</f>
        <v>#N/A</v>
      </c>
      <c r="H27" s="130" t="e">
        <f aca="false">VLOOKUP(A27,saisie!B$7:AL$26,8,0)</f>
        <v>#N/A</v>
      </c>
      <c r="I27" s="131" t="e">
        <f aca="false">VLOOKUP(A27,saisie!B$7:AL$26,9,0)</f>
        <v>#N/A</v>
      </c>
      <c r="J27" s="128" t="e">
        <f aca="false">VLOOKUP(A27,saisie!B$7:AL$26,10,0)</f>
        <v>#N/A</v>
      </c>
      <c r="K27" s="129" t="e">
        <f aca="false">VLOOKUP(A27,saisie!B$7:AL$26,11,0)</f>
        <v>#N/A</v>
      </c>
      <c r="L27" s="129" t="e">
        <f aca="false">VLOOKUP(A27,saisie!B$7:AL$26,12,0)</f>
        <v>#N/A</v>
      </c>
      <c r="M27" s="129" t="e">
        <f aca="false">VLOOKUP(A27,saisie!B$7:AL$26,13,0)</f>
        <v>#N/A</v>
      </c>
      <c r="N27" s="130" t="e">
        <f aca="false">VLOOKUP(A27,saisie!B$7:AL$26,14,0)</f>
        <v>#N/A</v>
      </c>
      <c r="O27" s="131" t="e">
        <f aca="false">VLOOKUP(A27,saisie!B$7:AL$26,15,0)</f>
        <v>#N/A</v>
      </c>
      <c r="P27" s="128" t="e">
        <f aca="false">VLOOKUP(A27,saisie!B$7:AL$26,16,0)</f>
        <v>#N/A</v>
      </c>
      <c r="Q27" s="129" t="e">
        <f aca="false">VLOOKUP(A27,saisie!B$7:AL$26,17,0)</f>
        <v>#N/A</v>
      </c>
      <c r="R27" s="129" t="e">
        <f aca="false">VLOOKUP(A27,saisie!B$7:AL$26,18,0)</f>
        <v>#N/A</v>
      </c>
      <c r="S27" s="129" t="e">
        <f aca="false">VLOOKUP(A27,saisie!B$7:AL$26,19,0)</f>
        <v>#N/A</v>
      </c>
      <c r="T27" s="130" t="e">
        <f aca="false">VLOOKUP(A27,saisie!B$7:AL$26,20,0)</f>
        <v>#N/A</v>
      </c>
      <c r="U27" s="131" t="e">
        <f aca="false">VLOOKUP(A27,saisie!B$7:AL$26,21,0)</f>
        <v>#N/A</v>
      </c>
      <c r="V27" s="128" t="e">
        <f aca="false">VLOOKUP(A27,saisie!B$7:AL$26,22,0)</f>
        <v>#N/A</v>
      </c>
      <c r="W27" s="129" t="e">
        <f aca="false">VLOOKUP(A27,saisie!B$7:AL$26,23,0)</f>
        <v>#N/A</v>
      </c>
      <c r="X27" s="129" t="e">
        <f aca="false">VLOOKUP(A27,saisie!B$7:AL$26,24,0)</f>
        <v>#N/A</v>
      </c>
      <c r="Y27" s="129" t="e">
        <f aca="false">VLOOKUP(A27,saisie!B$7:AL$26,25,0)</f>
        <v>#N/A</v>
      </c>
      <c r="Z27" s="130" t="e">
        <f aca="false">VLOOKUP(A27,saisie!B$7:AL$26,26,0)</f>
        <v>#N/A</v>
      </c>
      <c r="AA27" s="131" t="e">
        <f aca="false">VLOOKUP(A27,saisie!B$7:AL$26,27,0)</f>
        <v>#N/A</v>
      </c>
      <c r="AB27" s="128" t="e">
        <f aca="false">VLOOKUP(A27,saisie!B$7:AL$26,28,0)</f>
        <v>#N/A</v>
      </c>
      <c r="AC27" s="129" t="e">
        <f aca="false">VLOOKUP(A27,saisie!B$7:AL$26,29,0)</f>
        <v>#N/A</v>
      </c>
      <c r="AD27" s="129" t="e">
        <f aca="false">VLOOKUP(A27,saisie!B$7:AL$26,30,0)</f>
        <v>#N/A</v>
      </c>
      <c r="AE27" s="129" t="e">
        <f aca="false">VLOOKUP(A27,saisie!B$7:AL$26,31,0)</f>
        <v>#N/A</v>
      </c>
      <c r="AF27" s="130" t="e">
        <f aca="false">VLOOKUP(A27,saisie!B$7:AL$26,32,0)</f>
        <v>#N/A</v>
      </c>
      <c r="AG27" s="131" t="e">
        <f aca="false">VLOOKUP(A27,saisie!B$7:AL$26,33,0)</f>
        <v>#N/A</v>
      </c>
      <c r="AH27" s="136" t="e">
        <f aca="false">VLOOKUP(A27,saisie!B$7:AL$26,34,0)</f>
        <v>#N/A</v>
      </c>
      <c r="AI27" s="133" t="e">
        <f aca="false">VLOOKUP(A27,saisie!B$7:AL$26,35,0)</f>
        <v>#N/A</v>
      </c>
      <c r="AJ27" s="134"/>
    </row>
    <row r="28" s="107" customFormat="true" ht="109" hidden="false" customHeight="true" outlineLevel="0" collapsed="false">
      <c r="A28" s="135" t="str">
        <f aca="false">IF(INFO!B8&gt;21,22,"")</f>
        <v/>
      </c>
      <c r="B28" s="126" t="e">
        <f aca="false">VLOOKUP(A28,saisie!B$7:AL$26,2,0)</f>
        <v>#N/A</v>
      </c>
      <c r="C28" s="127" t="e">
        <f aca="false">VLOOKUP(A28,saisie!B$7:AL$26,3,0)</f>
        <v>#N/A</v>
      </c>
      <c r="D28" s="128" t="e">
        <f aca="false">VLOOKUP(A28,saisie!B$7:AL$26,4,0)</f>
        <v>#N/A</v>
      </c>
      <c r="E28" s="129" t="e">
        <f aca="false">VLOOKUP(A28,saisie!B$7:AL$26,5,0)</f>
        <v>#N/A</v>
      </c>
      <c r="F28" s="129" t="e">
        <f aca="false">VLOOKUP(A28,saisie!B$7:AL$26,6,0)</f>
        <v>#N/A</v>
      </c>
      <c r="G28" s="129" t="e">
        <f aca="false">VLOOKUP(A28,saisie!B$7:AL$26,7,0)</f>
        <v>#N/A</v>
      </c>
      <c r="H28" s="130" t="e">
        <f aca="false">VLOOKUP(A28,saisie!B$7:AL$26,8,0)</f>
        <v>#N/A</v>
      </c>
      <c r="I28" s="131" t="e">
        <f aca="false">VLOOKUP(A28,saisie!B$7:AL$26,9,0)</f>
        <v>#N/A</v>
      </c>
      <c r="J28" s="128" t="e">
        <f aca="false">VLOOKUP(A28,saisie!B$7:AL$26,10,0)</f>
        <v>#N/A</v>
      </c>
      <c r="K28" s="129" t="e">
        <f aca="false">VLOOKUP(A28,saisie!B$7:AL$26,11,0)</f>
        <v>#N/A</v>
      </c>
      <c r="L28" s="129" t="e">
        <f aca="false">VLOOKUP(A28,saisie!B$7:AL$26,12,0)</f>
        <v>#N/A</v>
      </c>
      <c r="M28" s="129" t="e">
        <f aca="false">VLOOKUP(A28,saisie!B$7:AL$26,13,0)</f>
        <v>#N/A</v>
      </c>
      <c r="N28" s="130" t="e">
        <f aca="false">VLOOKUP(A28,saisie!B$7:AL$26,14,0)</f>
        <v>#N/A</v>
      </c>
      <c r="O28" s="131" t="e">
        <f aca="false">VLOOKUP(A28,saisie!B$7:AL$26,15,0)</f>
        <v>#N/A</v>
      </c>
      <c r="P28" s="128" t="e">
        <f aca="false">VLOOKUP(A28,saisie!B$7:AL$26,16,0)</f>
        <v>#N/A</v>
      </c>
      <c r="Q28" s="129" t="e">
        <f aca="false">VLOOKUP(A28,saisie!B$7:AL$26,17,0)</f>
        <v>#N/A</v>
      </c>
      <c r="R28" s="129" t="e">
        <f aca="false">VLOOKUP(A28,saisie!B$7:AL$26,18,0)</f>
        <v>#N/A</v>
      </c>
      <c r="S28" s="129" t="e">
        <f aca="false">VLOOKUP(A28,saisie!B$7:AL$26,19,0)</f>
        <v>#N/A</v>
      </c>
      <c r="T28" s="130" t="e">
        <f aca="false">VLOOKUP(A28,saisie!B$7:AL$26,20,0)</f>
        <v>#N/A</v>
      </c>
      <c r="U28" s="131" t="e">
        <f aca="false">VLOOKUP(A28,saisie!B$7:AL$26,21,0)</f>
        <v>#N/A</v>
      </c>
      <c r="V28" s="128" t="e">
        <f aca="false">VLOOKUP(A28,saisie!B$7:AL$26,22,0)</f>
        <v>#N/A</v>
      </c>
      <c r="W28" s="129" t="e">
        <f aca="false">VLOOKUP(A28,saisie!B$7:AL$26,23,0)</f>
        <v>#N/A</v>
      </c>
      <c r="X28" s="129" t="e">
        <f aca="false">VLOOKUP(A28,saisie!B$7:AL$26,24,0)</f>
        <v>#N/A</v>
      </c>
      <c r="Y28" s="129" t="e">
        <f aca="false">VLOOKUP(A28,saisie!B$7:AL$26,25,0)</f>
        <v>#N/A</v>
      </c>
      <c r="Z28" s="130" t="e">
        <f aca="false">VLOOKUP(A28,saisie!B$7:AL$26,26,0)</f>
        <v>#N/A</v>
      </c>
      <c r="AA28" s="131" t="e">
        <f aca="false">VLOOKUP(A28,saisie!B$7:AL$26,27,0)</f>
        <v>#N/A</v>
      </c>
      <c r="AB28" s="128" t="e">
        <f aca="false">VLOOKUP(A28,saisie!B$7:AL$26,28,0)</f>
        <v>#N/A</v>
      </c>
      <c r="AC28" s="129" t="e">
        <f aca="false">VLOOKUP(A28,saisie!B$7:AL$26,29,0)</f>
        <v>#N/A</v>
      </c>
      <c r="AD28" s="129" t="e">
        <f aca="false">VLOOKUP(A28,saisie!B$7:AL$26,30,0)</f>
        <v>#N/A</v>
      </c>
      <c r="AE28" s="129" t="e">
        <f aca="false">VLOOKUP(A28,saisie!B$7:AL$26,31,0)</f>
        <v>#N/A</v>
      </c>
      <c r="AF28" s="130" t="e">
        <f aca="false">VLOOKUP(A28,saisie!B$7:AL$26,32,0)</f>
        <v>#N/A</v>
      </c>
      <c r="AG28" s="131" t="e">
        <f aca="false">VLOOKUP(A28,saisie!B$7:AL$26,33,0)</f>
        <v>#N/A</v>
      </c>
      <c r="AH28" s="136" t="e">
        <f aca="false">VLOOKUP(A28,saisie!B$7:AL$26,34,0)</f>
        <v>#N/A</v>
      </c>
      <c r="AI28" s="133" t="e">
        <f aca="false">VLOOKUP(A28,saisie!B$7:AL$26,35,0)</f>
        <v>#N/A</v>
      </c>
      <c r="AJ28" s="134"/>
    </row>
    <row r="29" s="107" customFormat="true" ht="109" hidden="false" customHeight="true" outlineLevel="0" collapsed="false">
      <c r="A29" s="135" t="str">
        <f aca="false">IF(INFO!B8&gt;22,23,"")</f>
        <v/>
      </c>
      <c r="B29" s="126" t="e">
        <f aca="false">VLOOKUP(A29,saisie!B$7:AL$26,2,0)</f>
        <v>#N/A</v>
      </c>
      <c r="C29" s="127" t="e">
        <f aca="false">VLOOKUP(A29,saisie!B$7:AL$26,3,0)</f>
        <v>#N/A</v>
      </c>
      <c r="D29" s="128" t="e">
        <f aca="false">VLOOKUP(A29,saisie!B$7:AL$26,4,0)</f>
        <v>#N/A</v>
      </c>
      <c r="E29" s="129" t="e">
        <f aca="false">VLOOKUP(A29,saisie!B$7:AL$26,5,0)</f>
        <v>#N/A</v>
      </c>
      <c r="F29" s="129" t="e">
        <f aca="false">VLOOKUP(A29,saisie!B$7:AL$26,6,0)</f>
        <v>#N/A</v>
      </c>
      <c r="G29" s="129" t="e">
        <f aca="false">VLOOKUP(A29,saisie!B$7:AL$26,7,0)</f>
        <v>#N/A</v>
      </c>
      <c r="H29" s="130" t="e">
        <f aca="false">VLOOKUP(A29,saisie!B$7:AL$26,8,0)</f>
        <v>#N/A</v>
      </c>
      <c r="I29" s="131" t="e">
        <f aca="false">VLOOKUP(A29,saisie!B$7:AL$26,9,0)</f>
        <v>#N/A</v>
      </c>
      <c r="J29" s="128" t="e">
        <f aca="false">VLOOKUP(A29,saisie!B$7:AL$26,10,0)</f>
        <v>#N/A</v>
      </c>
      <c r="K29" s="129" t="e">
        <f aca="false">VLOOKUP(A29,saisie!B$7:AL$26,11,0)</f>
        <v>#N/A</v>
      </c>
      <c r="L29" s="129" t="e">
        <f aca="false">VLOOKUP(A29,saisie!B$7:AL$26,12,0)</f>
        <v>#N/A</v>
      </c>
      <c r="M29" s="129" t="e">
        <f aca="false">VLOOKUP(A29,saisie!B$7:AL$26,13,0)</f>
        <v>#N/A</v>
      </c>
      <c r="N29" s="130" t="e">
        <f aca="false">VLOOKUP(A29,saisie!B$7:AL$26,14,0)</f>
        <v>#N/A</v>
      </c>
      <c r="O29" s="131" t="e">
        <f aca="false">VLOOKUP(A29,saisie!B$7:AL$26,15,0)</f>
        <v>#N/A</v>
      </c>
      <c r="P29" s="128" t="e">
        <f aca="false">VLOOKUP(A29,saisie!B$7:AL$26,16,0)</f>
        <v>#N/A</v>
      </c>
      <c r="Q29" s="129" t="e">
        <f aca="false">VLOOKUP(A29,saisie!B$7:AL$26,17,0)</f>
        <v>#N/A</v>
      </c>
      <c r="R29" s="129" t="e">
        <f aca="false">VLOOKUP(A29,saisie!B$7:AL$26,18,0)</f>
        <v>#N/A</v>
      </c>
      <c r="S29" s="129" t="e">
        <f aca="false">VLOOKUP(A29,saisie!B$7:AL$26,19,0)</f>
        <v>#N/A</v>
      </c>
      <c r="T29" s="130" t="e">
        <f aca="false">VLOOKUP(A29,saisie!B$7:AL$26,20,0)</f>
        <v>#N/A</v>
      </c>
      <c r="U29" s="131" t="e">
        <f aca="false">VLOOKUP(A29,saisie!B$7:AL$26,21,0)</f>
        <v>#N/A</v>
      </c>
      <c r="V29" s="128" t="e">
        <f aca="false">VLOOKUP(A29,saisie!B$7:AL$26,22,0)</f>
        <v>#N/A</v>
      </c>
      <c r="W29" s="129" t="e">
        <f aca="false">VLOOKUP(A29,saisie!B$7:AL$26,23,0)</f>
        <v>#N/A</v>
      </c>
      <c r="X29" s="129" t="e">
        <f aca="false">VLOOKUP(A29,saisie!B$7:AL$26,24,0)</f>
        <v>#N/A</v>
      </c>
      <c r="Y29" s="129" t="e">
        <f aca="false">VLOOKUP(A29,saisie!B$7:AL$26,25,0)</f>
        <v>#N/A</v>
      </c>
      <c r="Z29" s="130" t="e">
        <f aca="false">VLOOKUP(A29,saisie!B$7:AL$26,26,0)</f>
        <v>#N/A</v>
      </c>
      <c r="AA29" s="131" t="e">
        <f aca="false">VLOOKUP(A29,saisie!B$7:AL$26,27,0)</f>
        <v>#N/A</v>
      </c>
      <c r="AB29" s="128" t="e">
        <f aca="false">VLOOKUP(A29,saisie!B$7:AL$26,28,0)</f>
        <v>#N/A</v>
      </c>
      <c r="AC29" s="129" t="e">
        <f aca="false">VLOOKUP(A29,saisie!B$7:AL$26,29,0)</f>
        <v>#N/A</v>
      </c>
      <c r="AD29" s="129" t="e">
        <f aca="false">VLOOKUP(A29,saisie!B$7:AL$26,30,0)</f>
        <v>#N/A</v>
      </c>
      <c r="AE29" s="129" t="e">
        <f aca="false">VLOOKUP(A29,saisie!B$7:AL$26,31,0)</f>
        <v>#N/A</v>
      </c>
      <c r="AF29" s="130" t="e">
        <f aca="false">VLOOKUP(A29,saisie!B$7:AL$26,32,0)</f>
        <v>#N/A</v>
      </c>
      <c r="AG29" s="131" t="e">
        <f aca="false">VLOOKUP(A29,saisie!B$7:AL$26,33,0)</f>
        <v>#N/A</v>
      </c>
      <c r="AH29" s="136" t="e">
        <f aca="false">VLOOKUP(A29,saisie!B$7:AL$26,34,0)</f>
        <v>#N/A</v>
      </c>
      <c r="AI29" s="133" t="e">
        <f aca="false">VLOOKUP(A29,saisie!B$7:AL$26,35,0)</f>
        <v>#N/A</v>
      </c>
      <c r="AJ29" s="134"/>
    </row>
    <row r="30" s="107" customFormat="true" ht="109" hidden="false" customHeight="true" outlineLevel="0" collapsed="false">
      <c r="A30" s="135" t="str">
        <f aca="false">IF(INFO!B8&gt;23,24,"")</f>
        <v/>
      </c>
      <c r="B30" s="126" t="e">
        <f aca="false">VLOOKUP(A30,saisie!B$7:AL$26,2,0)</f>
        <v>#N/A</v>
      </c>
      <c r="C30" s="127" t="e">
        <f aca="false">VLOOKUP(A30,saisie!B$7:AL$26,3,0)</f>
        <v>#N/A</v>
      </c>
      <c r="D30" s="128" t="e">
        <f aca="false">VLOOKUP(A30,saisie!B$7:AL$26,4,0)</f>
        <v>#N/A</v>
      </c>
      <c r="E30" s="129" t="e">
        <f aca="false">VLOOKUP(A30,saisie!B$7:AL$26,5,0)</f>
        <v>#N/A</v>
      </c>
      <c r="F30" s="129" t="e">
        <f aca="false">VLOOKUP(A30,saisie!B$7:AL$26,6,0)</f>
        <v>#N/A</v>
      </c>
      <c r="G30" s="129" t="e">
        <f aca="false">VLOOKUP(A30,saisie!B$7:AL$26,7,0)</f>
        <v>#N/A</v>
      </c>
      <c r="H30" s="130" t="e">
        <f aca="false">VLOOKUP(A30,saisie!B$7:AL$26,8,0)</f>
        <v>#N/A</v>
      </c>
      <c r="I30" s="131" t="e">
        <f aca="false">VLOOKUP(A30,saisie!B$7:AL$26,9,0)</f>
        <v>#N/A</v>
      </c>
      <c r="J30" s="128" t="e">
        <f aca="false">VLOOKUP(A30,saisie!B$7:AL$26,10,0)</f>
        <v>#N/A</v>
      </c>
      <c r="K30" s="129" t="e">
        <f aca="false">VLOOKUP(A30,saisie!B$7:AL$26,11,0)</f>
        <v>#N/A</v>
      </c>
      <c r="L30" s="129" t="e">
        <f aca="false">VLOOKUP(A30,saisie!B$7:AL$26,12,0)</f>
        <v>#N/A</v>
      </c>
      <c r="M30" s="129" t="e">
        <f aca="false">VLOOKUP(A30,saisie!B$7:AL$26,13,0)</f>
        <v>#N/A</v>
      </c>
      <c r="N30" s="130" t="e">
        <f aca="false">VLOOKUP(A30,saisie!B$7:AL$26,14,0)</f>
        <v>#N/A</v>
      </c>
      <c r="O30" s="131" t="e">
        <f aca="false">VLOOKUP(A30,saisie!B$7:AL$26,15,0)</f>
        <v>#N/A</v>
      </c>
      <c r="P30" s="128" t="e">
        <f aca="false">VLOOKUP(A30,saisie!B$7:AL$26,16,0)</f>
        <v>#N/A</v>
      </c>
      <c r="Q30" s="129" t="e">
        <f aca="false">VLOOKUP(A30,saisie!B$7:AL$26,17,0)</f>
        <v>#N/A</v>
      </c>
      <c r="R30" s="129" t="e">
        <f aca="false">VLOOKUP(A30,saisie!B$7:AL$26,18,0)</f>
        <v>#N/A</v>
      </c>
      <c r="S30" s="129" t="e">
        <f aca="false">VLOOKUP(A30,saisie!B$7:AL$26,19,0)</f>
        <v>#N/A</v>
      </c>
      <c r="T30" s="130" t="e">
        <f aca="false">VLOOKUP(A30,saisie!B$7:AL$26,20,0)</f>
        <v>#N/A</v>
      </c>
      <c r="U30" s="131" t="e">
        <f aca="false">VLOOKUP(A30,saisie!B$7:AL$26,21,0)</f>
        <v>#N/A</v>
      </c>
      <c r="V30" s="128" t="e">
        <f aca="false">VLOOKUP(A30,saisie!B$7:AL$26,22,0)</f>
        <v>#N/A</v>
      </c>
      <c r="W30" s="129" t="e">
        <f aca="false">VLOOKUP(A30,saisie!B$7:AL$26,23,0)</f>
        <v>#N/A</v>
      </c>
      <c r="X30" s="129" t="e">
        <f aca="false">VLOOKUP(A30,saisie!B$7:AL$26,24,0)</f>
        <v>#N/A</v>
      </c>
      <c r="Y30" s="129" t="e">
        <f aca="false">VLOOKUP(A30,saisie!B$7:AL$26,25,0)</f>
        <v>#N/A</v>
      </c>
      <c r="Z30" s="130" t="e">
        <f aca="false">VLOOKUP(A30,saisie!B$7:AL$26,26,0)</f>
        <v>#N/A</v>
      </c>
      <c r="AA30" s="131" t="e">
        <f aca="false">VLOOKUP(A30,saisie!B$7:AL$26,27,0)</f>
        <v>#N/A</v>
      </c>
      <c r="AB30" s="128" t="e">
        <f aca="false">VLOOKUP(A30,saisie!B$7:AL$26,28,0)</f>
        <v>#N/A</v>
      </c>
      <c r="AC30" s="129" t="e">
        <f aca="false">VLOOKUP(A30,saisie!B$7:AL$26,29,0)</f>
        <v>#N/A</v>
      </c>
      <c r="AD30" s="129" t="e">
        <f aca="false">VLOOKUP(A30,saisie!B$7:AL$26,30,0)</f>
        <v>#N/A</v>
      </c>
      <c r="AE30" s="129" t="e">
        <f aca="false">VLOOKUP(A30,saisie!B$7:AL$26,31,0)</f>
        <v>#N/A</v>
      </c>
      <c r="AF30" s="130" t="e">
        <f aca="false">VLOOKUP(A30,saisie!B$7:AL$26,32,0)</f>
        <v>#N/A</v>
      </c>
      <c r="AG30" s="131" t="e">
        <f aca="false">VLOOKUP(A30,saisie!B$7:AL$26,33,0)</f>
        <v>#N/A</v>
      </c>
      <c r="AH30" s="136" t="e">
        <f aca="false">VLOOKUP(A30,saisie!B$7:AL$26,34,0)</f>
        <v>#N/A</v>
      </c>
      <c r="AI30" s="133" t="e">
        <f aca="false">VLOOKUP(A30,saisie!B$7:AL$26,35,0)</f>
        <v>#N/A</v>
      </c>
      <c r="AJ30" s="134"/>
    </row>
    <row r="31" s="107" customFormat="true" ht="109" hidden="false" customHeight="true" outlineLevel="0" collapsed="false">
      <c r="A31" s="135" t="str">
        <f aca="false">IF(INFO!B8&gt;24,25,"")</f>
        <v/>
      </c>
      <c r="B31" s="126" t="e">
        <f aca="false">VLOOKUP(A31,saisie!B$7:AL$26,2,0)</f>
        <v>#N/A</v>
      </c>
      <c r="C31" s="127" t="e">
        <f aca="false">VLOOKUP(A31,saisie!B$7:AL$26,3,0)</f>
        <v>#N/A</v>
      </c>
      <c r="D31" s="128" t="e">
        <f aca="false">VLOOKUP(A31,saisie!B$7:AL$26,4,0)</f>
        <v>#N/A</v>
      </c>
      <c r="E31" s="129" t="e">
        <f aca="false">VLOOKUP(A31,saisie!B$7:AL$26,5,0)</f>
        <v>#N/A</v>
      </c>
      <c r="F31" s="129" t="e">
        <f aca="false">VLOOKUP(A31,saisie!B$7:AL$26,6,0)</f>
        <v>#N/A</v>
      </c>
      <c r="G31" s="129" t="e">
        <f aca="false">VLOOKUP(A31,saisie!B$7:AL$26,7,0)</f>
        <v>#N/A</v>
      </c>
      <c r="H31" s="130" t="e">
        <f aca="false">VLOOKUP(A31,saisie!B$7:AL$26,8,0)</f>
        <v>#N/A</v>
      </c>
      <c r="I31" s="131" t="e">
        <f aca="false">VLOOKUP(A31,saisie!B$7:AL$26,9,0)</f>
        <v>#N/A</v>
      </c>
      <c r="J31" s="128" t="e">
        <f aca="false">VLOOKUP(A31,saisie!B$7:AL$26,10,0)</f>
        <v>#N/A</v>
      </c>
      <c r="K31" s="129" t="e">
        <f aca="false">VLOOKUP(A31,saisie!B$7:AL$26,11,0)</f>
        <v>#N/A</v>
      </c>
      <c r="L31" s="129" t="e">
        <f aca="false">VLOOKUP(A31,saisie!B$7:AL$26,12,0)</f>
        <v>#N/A</v>
      </c>
      <c r="M31" s="129" t="e">
        <f aca="false">VLOOKUP(A31,saisie!B$7:AL$26,13,0)</f>
        <v>#N/A</v>
      </c>
      <c r="N31" s="130" t="e">
        <f aca="false">VLOOKUP(A31,saisie!B$7:AL$26,14,0)</f>
        <v>#N/A</v>
      </c>
      <c r="O31" s="131" t="e">
        <f aca="false">VLOOKUP(A31,saisie!B$7:AL$26,15,0)</f>
        <v>#N/A</v>
      </c>
      <c r="P31" s="128" t="e">
        <f aca="false">VLOOKUP(A31,saisie!B$7:AL$26,16,0)</f>
        <v>#N/A</v>
      </c>
      <c r="Q31" s="129" t="e">
        <f aca="false">VLOOKUP(A31,saisie!B$7:AL$26,17,0)</f>
        <v>#N/A</v>
      </c>
      <c r="R31" s="129" t="e">
        <f aca="false">VLOOKUP(A31,saisie!B$7:AL$26,18,0)</f>
        <v>#N/A</v>
      </c>
      <c r="S31" s="129" t="e">
        <f aca="false">VLOOKUP(A31,saisie!B$7:AL$26,19,0)</f>
        <v>#N/A</v>
      </c>
      <c r="T31" s="130" t="e">
        <f aca="false">VLOOKUP(A31,saisie!B$7:AL$26,20,0)</f>
        <v>#N/A</v>
      </c>
      <c r="U31" s="131" t="e">
        <f aca="false">VLOOKUP(A31,saisie!B$7:AL$26,21,0)</f>
        <v>#N/A</v>
      </c>
      <c r="V31" s="128" t="e">
        <f aca="false">VLOOKUP(A31,saisie!B$7:AL$26,22,0)</f>
        <v>#N/A</v>
      </c>
      <c r="W31" s="129" t="e">
        <f aca="false">VLOOKUP(A31,saisie!B$7:AL$26,23,0)</f>
        <v>#N/A</v>
      </c>
      <c r="X31" s="129" t="e">
        <f aca="false">VLOOKUP(A31,saisie!B$7:AL$26,24,0)</f>
        <v>#N/A</v>
      </c>
      <c r="Y31" s="129" t="e">
        <f aca="false">VLOOKUP(A31,saisie!B$7:AL$26,25,0)</f>
        <v>#N/A</v>
      </c>
      <c r="Z31" s="130" t="e">
        <f aca="false">VLOOKUP(A31,saisie!B$7:AL$26,26,0)</f>
        <v>#N/A</v>
      </c>
      <c r="AA31" s="131" t="e">
        <f aca="false">VLOOKUP(A31,saisie!B$7:AL$26,27,0)</f>
        <v>#N/A</v>
      </c>
      <c r="AB31" s="128" t="e">
        <f aca="false">VLOOKUP(A31,saisie!B$7:AL$26,28,0)</f>
        <v>#N/A</v>
      </c>
      <c r="AC31" s="129" t="e">
        <f aca="false">VLOOKUP(A31,saisie!B$7:AL$26,29,0)</f>
        <v>#N/A</v>
      </c>
      <c r="AD31" s="129" t="e">
        <f aca="false">VLOOKUP(A31,saisie!B$7:AL$26,30,0)</f>
        <v>#N/A</v>
      </c>
      <c r="AE31" s="129" t="e">
        <f aca="false">VLOOKUP(A31,saisie!B$7:AL$26,31,0)</f>
        <v>#N/A</v>
      </c>
      <c r="AF31" s="130" t="e">
        <f aca="false">VLOOKUP(A31,saisie!B$7:AL$26,32,0)</f>
        <v>#N/A</v>
      </c>
      <c r="AG31" s="131" t="e">
        <f aca="false">VLOOKUP(A31,saisie!B$7:AL$26,33,0)</f>
        <v>#N/A</v>
      </c>
      <c r="AH31" s="136" t="e">
        <f aca="false">VLOOKUP(A31,saisie!B$7:AL$26,34,0)</f>
        <v>#N/A</v>
      </c>
      <c r="AI31" s="133" t="e">
        <f aca="false">VLOOKUP(A31,saisie!B$7:AL$26,35,0)</f>
        <v>#N/A</v>
      </c>
      <c r="AJ31" s="134"/>
    </row>
    <row r="32" s="107" customFormat="true" ht="109" hidden="false" customHeight="true" outlineLevel="0" collapsed="false">
      <c r="A32" s="135" t="str">
        <f aca="false">IF(INFO!B8&gt;25,26,"")</f>
        <v/>
      </c>
      <c r="B32" s="126" t="e">
        <f aca="false">VLOOKUP(A32,saisie!B$7:AL$26,2,0)</f>
        <v>#N/A</v>
      </c>
      <c r="C32" s="127" t="e">
        <f aca="false">VLOOKUP(A32,saisie!B$7:AL$26,3,0)</f>
        <v>#N/A</v>
      </c>
      <c r="D32" s="128" t="e">
        <f aca="false">VLOOKUP(A32,saisie!B$7:AL$26,4,0)</f>
        <v>#N/A</v>
      </c>
      <c r="E32" s="129" t="e">
        <f aca="false">VLOOKUP(A32,saisie!B$7:AL$26,5,0)</f>
        <v>#N/A</v>
      </c>
      <c r="F32" s="129" t="e">
        <f aca="false">VLOOKUP(A32,saisie!B$7:AL$26,6,0)</f>
        <v>#N/A</v>
      </c>
      <c r="G32" s="129" t="e">
        <f aca="false">VLOOKUP(A32,saisie!B$7:AL$26,7,0)</f>
        <v>#N/A</v>
      </c>
      <c r="H32" s="130" t="e">
        <f aca="false">VLOOKUP(A32,saisie!B$7:AL$26,8,0)</f>
        <v>#N/A</v>
      </c>
      <c r="I32" s="131" t="e">
        <f aca="false">VLOOKUP(A32,saisie!B$7:AL$26,9,0)</f>
        <v>#N/A</v>
      </c>
      <c r="J32" s="128" t="e">
        <f aca="false">VLOOKUP(A32,saisie!B$7:AL$26,10,0)</f>
        <v>#N/A</v>
      </c>
      <c r="K32" s="129" t="e">
        <f aca="false">VLOOKUP(A32,saisie!B$7:AL$26,11,0)</f>
        <v>#N/A</v>
      </c>
      <c r="L32" s="129" t="e">
        <f aca="false">VLOOKUP(A32,saisie!B$7:AL$26,12,0)</f>
        <v>#N/A</v>
      </c>
      <c r="M32" s="129" t="e">
        <f aca="false">VLOOKUP(A32,saisie!B$7:AL$26,13,0)</f>
        <v>#N/A</v>
      </c>
      <c r="N32" s="130" t="e">
        <f aca="false">VLOOKUP(A32,saisie!B$7:AL$26,14,0)</f>
        <v>#N/A</v>
      </c>
      <c r="O32" s="131" t="e">
        <f aca="false">VLOOKUP(A32,saisie!B$7:AL$26,15,0)</f>
        <v>#N/A</v>
      </c>
      <c r="P32" s="128" t="e">
        <f aca="false">VLOOKUP(A32,saisie!B$7:AL$26,16,0)</f>
        <v>#N/A</v>
      </c>
      <c r="Q32" s="129" t="e">
        <f aca="false">VLOOKUP(A32,saisie!B$7:AL$26,17,0)</f>
        <v>#N/A</v>
      </c>
      <c r="R32" s="129" t="e">
        <f aca="false">VLOOKUP(A32,saisie!B$7:AL$26,18,0)</f>
        <v>#N/A</v>
      </c>
      <c r="S32" s="129" t="e">
        <f aca="false">VLOOKUP(A32,saisie!B$7:AL$26,19,0)</f>
        <v>#N/A</v>
      </c>
      <c r="T32" s="130" t="e">
        <f aca="false">VLOOKUP(A32,saisie!B$7:AL$26,20,0)</f>
        <v>#N/A</v>
      </c>
      <c r="U32" s="131" t="e">
        <f aca="false">VLOOKUP(A32,saisie!B$7:AL$26,21,0)</f>
        <v>#N/A</v>
      </c>
      <c r="V32" s="128" t="e">
        <f aca="false">VLOOKUP(A32,saisie!B$7:AL$26,22,0)</f>
        <v>#N/A</v>
      </c>
      <c r="W32" s="129" t="e">
        <f aca="false">VLOOKUP(A32,saisie!B$7:AL$26,23,0)</f>
        <v>#N/A</v>
      </c>
      <c r="X32" s="129" t="e">
        <f aca="false">VLOOKUP(A32,saisie!B$7:AL$26,24,0)</f>
        <v>#N/A</v>
      </c>
      <c r="Y32" s="129" t="e">
        <f aca="false">VLOOKUP(A32,saisie!B$7:AL$26,25,0)</f>
        <v>#N/A</v>
      </c>
      <c r="Z32" s="130" t="e">
        <f aca="false">VLOOKUP(A32,saisie!B$7:AL$26,26,0)</f>
        <v>#N/A</v>
      </c>
      <c r="AA32" s="131" t="e">
        <f aca="false">VLOOKUP(A32,saisie!B$7:AL$26,27,0)</f>
        <v>#N/A</v>
      </c>
      <c r="AB32" s="128" t="e">
        <f aca="false">VLOOKUP(A32,saisie!B$7:AL$26,28,0)</f>
        <v>#N/A</v>
      </c>
      <c r="AC32" s="129" t="e">
        <f aca="false">VLOOKUP(A32,saisie!B$7:AL$26,29,0)</f>
        <v>#N/A</v>
      </c>
      <c r="AD32" s="129" t="e">
        <f aca="false">VLOOKUP(A32,saisie!B$7:AL$26,30,0)</f>
        <v>#N/A</v>
      </c>
      <c r="AE32" s="129" t="e">
        <f aca="false">VLOOKUP(A32,saisie!B$7:AL$26,31,0)</f>
        <v>#N/A</v>
      </c>
      <c r="AF32" s="130" t="e">
        <f aca="false">VLOOKUP(A32,saisie!B$7:AL$26,32,0)</f>
        <v>#N/A</v>
      </c>
      <c r="AG32" s="131" t="e">
        <f aca="false">VLOOKUP(A32,saisie!B$7:AL$26,33,0)</f>
        <v>#N/A</v>
      </c>
      <c r="AH32" s="136" t="e">
        <f aca="false">VLOOKUP(A32,saisie!B$7:AL$26,34,0)</f>
        <v>#N/A</v>
      </c>
      <c r="AI32" s="133" t="e">
        <f aca="false">VLOOKUP(A32,saisie!B$7:AL$26,35,0)</f>
        <v>#N/A</v>
      </c>
      <c r="AJ32" s="134"/>
    </row>
    <row r="33" s="107" customFormat="true" ht="109" hidden="false" customHeight="true" outlineLevel="0" collapsed="false">
      <c r="A33" s="135" t="str">
        <f aca="false">IF(INFO!B8&gt;26,27,"")</f>
        <v/>
      </c>
      <c r="B33" s="126" t="e">
        <f aca="false">VLOOKUP(A33,saisie!B$7:AL$26,2,0)</f>
        <v>#N/A</v>
      </c>
      <c r="C33" s="127" t="e">
        <f aca="false">VLOOKUP(A33,saisie!B$7:AL$26,3,0)</f>
        <v>#N/A</v>
      </c>
      <c r="D33" s="128" t="e">
        <f aca="false">VLOOKUP(A33,saisie!B$7:AL$26,4,0)</f>
        <v>#N/A</v>
      </c>
      <c r="E33" s="129" t="e">
        <f aca="false">VLOOKUP(A33,saisie!B$7:AL$26,5,0)</f>
        <v>#N/A</v>
      </c>
      <c r="F33" s="129" t="e">
        <f aca="false">VLOOKUP(A33,saisie!B$7:AL$26,6,0)</f>
        <v>#N/A</v>
      </c>
      <c r="G33" s="129" t="e">
        <f aca="false">VLOOKUP(A33,saisie!B$7:AL$26,7,0)</f>
        <v>#N/A</v>
      </c>
      <c r="H33" s="130" t="e">
        <f aca="false">VLOOKUP(A33,saisie!B$7:AL$26,8,0)</f>
        <v>#N/A</v>
      </c>
      <c r="I33" s="131" t="e">
        <f aca="false">VLOOKUP(A33,saisie!B$7:AL$26,9,0)</f>
        <v>#N/A</v>
      </c>
      <c r="J33" s="128" t="e">
        <f aca="false">VLOOKUP(A33,saisie!B$7:AL$26,10,0)</f>
        <v>#N/A</v>
      </c>
      <c r="K33" s="129" t="e">
        <f aca="false">VLOOKUP(A33,saisie!B$7:AL$26,11,0)</f>
        <v>#N/A</v>
      </c>
      <c r="L33" s="129" t="e">
        <f aca="false">VLOOKUP(A33,saisie!B$7:AL$26,12,0)</f>
        <v>#N/A</v>
      </c>
      <c r="M33" s="129" t="e">
        <f aca="false">VLOOKUP(A33,saisie!B$7:AL$26,13,0)</f>
        <v>#N/A</v>
      </c>
      <c r="N33" s="130" t="e">
        <f aca="false">VLOOKUP(A33,saisie!B$7:AL$26,14,0)</f>
        <v>#N/A</v>
      </c>
      <c r="O33" s="131" t="e">
        <f aca="false">VLOOKUP(A33,saisie!B$7:AL$26,15,0)</f>
        <v>#N/A</v>
      </c>
      <c r="P33" s="128" t="e">
        <f aca="false">VLOOKUP(A33,saisie!B$7:AL$26,16,0)</f>
        <v>#N/A</v>
      </c>
      <c r="Q33" s="129" t="e">
        <f aca="false">VLOOKUP(A33,saisie!B$7:AL$26,17,0)</f>
        <v>#N/A</v>
      </c>
      <c r="R33" s="129" t="e">
        <f aca="false">VLOOKUP(A33,saisie!B$7:AL$26,18,0)</f>
        <v>#N/A</v>
      </c>
      <c r="S33" s="129" t="e">
        <f aca="false">VLOOKUP(A33,saisie!B$7:AL$26,19,0)</f>
        <v>#N/A</v>
      </c>
      <c r="T33" s="130" t="e">
        <f aca="false">VLOOKUP(A33,saisie!B$7:AL$26,20,0)</f>
        <v>#N/A</v>
      </c>
      <c r="U33" s="131" t="e">
        <f aca="false">VLOOKUP(A33,saisie!B$7:AL$26,21,0)</f>
        <v>#N/A</v>
      </c>
      <c r="V33" s="128" t="e">
        <f aca="false">VLOOKUP(A33,saisie!B$7:AL$26,22,0)</f>
        <v>#N/A</v>
      </c>
      <c r="W33" s="129" t="e">
        <f aca="false">VLOOKUP(A33,saisie!B$7:AL$26,23,0)</f>
        <v>#N/A</v>
      </c>
      <c r="X33" s="129" t="e">
        <f aca="false">VLOOKUP(A33,saisie!B$7:AL$26,24,0)</f>
        <v>#N/A</v>
      </c>
      <c r="Y33" s="129" t="e">
        <f aca="false">VLOOKUP(A33,saisie!B$7:AL$26,25,0)</f>
        <v>#N/A</v>
      </c>
      <c r="Z33" s="130" t="e">
        <f aca="false">VLOOKUP(A33,saisie!B$7:AL$26,26,0)</f>
        <v>#N/A</v>
      </c>
      <c r="AA33" s="131" t="e">
        <f aca="false">VLOOKUP(A33,saisie!B$7:AL$26,27,0)</f>
        <v>#N/A</v>
      </c>
      <c r="AB33" s="128" t="e">
        <f aca="false">VLOOKUP(A33,saisie!B$7:AL$26,28,0)</f>
        <v>#N/A</v>
      </c>
      <c r="AC33" s="129" t="e">
        <f aca="false">VLOOKUP(A33,saisie!B$7:AL$26,29,0)</f>
        <v>#N/A</v>
      </c>
      <c r="AD33" s="129" t="e">
        <f aca="false">VLOOKUP(A33,saisie!B$7:AL$26,30,0)</f>
        <v>#N/A</v>
      </c>
      <c r="AE33" s="129" t="e">
        <f aca="false">VLOOKUP(A33,saisie!B$7:AL$26,31,0)</f>
        <v>#N/A</v>
      </c>
      <c r="AF33" s="130" t="e">
        <f aca="false">VLOOKUP(A33,saisie!B$7:AL$26,32,0)</f>
        <v>#N/A</v>
      </c>
      <c r="AG33" s="131" t="e">
        <f aca="false">VLOOKUP(A33,saisie!B$7:AL$26,33,0)</f>
        <v>#N/A</v>
      </c>
      <c r="AH33" s="136" t="e">
        <f aca="false">VLOOKUP(A33,saisie!B$7:AL$26,34,0)</f>
        <v>#N/A</v>
      </c>
      <c r="AI33" s="133" t="e">
        <f aca="false">VLOOKUP(A33,saisie!B$7:AL$26,35,0)</f>
        <v>#N/A</v>
      </c>
      <c r="AJ33" s="134"/>
    </row>
    <row r="34" s="107" customFormat="true" ht="109" hidden="false" customHeight="true" outlineLevel="0" collapsed="false">
      <c r="A34" s="135" t="str">
        <f aca="false">IF(INFO!B8&gt;27,28,"")</f>
        <v/>
      </c>
      <c r="B34" s="126" t="e">
        <f aca="false">VLOOKUP(A34,saisie!B$7:AL$26,2,0)</f>
        <v>#N/A</v>
      </c>
      <c r="C34" s="127" t="e">
        <f aca="false">VLOOKUP(A34,saisie!B$7:AL$26,3,0)</f>
        <v>#N/A</v>
      </c>
      <c r="D34" s="128" t="e">
        <f aca="false">VLOOKUP(A34,saisie!B$7:AL$26,4,0)</f>
        <v>#N/A</v>
      </c>
      <c r="E34" s="129" t="e">
        <f aca="false">VLOOKUP(A34,saisie!B$7:AL$26,5,0)</f>
        <v>#N/A</v>
      </c>
      <c r="F34" s="129" t="e">
        <f aca="false">VLOOKUP(A34,saisie!B$7:AL$26,6,0)</f>
        <v>#N/A</v>
      </c>
      <c r="G34" s="129" t="e">
        <f aca="false">VLOOKUP(A34,saisie!B$7:AL$26,7,0)</f>
        <v>#N/A</v>
      </c>
      <c r="H34" s="130" t="e">
        <f aca="false">VLOOKUP(A34,saisie!B$7:AL$26,8,0)</f>
        <v>#N/A</v>
      </c>
      <c r="I34" s="131" t="e">
        <f aca="false">VLOOKUP(A34,saisie!B$7:AL$26,9,0)</f>
        <v>#N/A</v>
      </c>
      <c r="J34" s="128" t="e">
        <f aca="false">VLOOKUP(A34,saisie!B$7:AL$26,10,0)</f>
        <v>#N/A</v>
      </c>
      <c r="K34" s="129" t="e">
        <f aca="false">VLOOKUP(A34,saisie!B$7:AL$26,11,0)</f>
        <v>#N/A</v>
      </c>
      <c r="L34" s="129" t="e">
        <f aca="false">VLOOKUP(A34,saisie!B$7:AL$26,12,0)</f>
        <v>#N/A</v>
      </c>
      <c r="M34" s="129" t="e">
        <f aca="false">VLOOKUP(A34,saisie!B$7:AL$26,13,0)</f>
        <v>#N/A</v>
      </c>
      <c r="N34" s="130" t="e">
        <f aca="false">VLOOKUP(A34,saisie!B$7:AL$26,14,0)</f>
        <v>#N/A</v>
      </c>
      <c r="O34" s="131" t="e">
        <f aca="false">VLOOKUP(A34,saisie!B$7:AL$26,15,0)</f>
        <v>#N/A</v>
      </c>
      <c r="P34" s="128" t="e">
        <f aca="false">VLOOKUP(A34,saisie!B$7:AL$26,16,0)</f>
        <v>#N/A</v>
      </c>
      <c r="Q34" s="129" t="e">
        <f aca="false">VLOOKUP(A34,saisie!B$7:AL$26,17,0)</f>
        <v>#N/A</v>
      </c>
      <c r="R34" s="129" t="e">
        <f aca="false">VLOOKUP(A34,saisie!B$7:AL$26,18,0)</f>
        <v>#N/A</v>
      </c>
      <c r="S34" s="129" t="e">
        <f aca="false">VLOOKUP(A34,saisie!B$7:AL$26,19,0)</f>
        <v>#N/A</v>
      </c>
      <c r="T34" s="130" t="e">
        <f aca="false">VLOOKUP(A34,saisie!B$7:AL$26,20,0)</f>
        <v>#N/A</v>
      </c>
      <c r="U34" s="131" t="e">
        <f aca="false">VLOOKUP(A34,saisie!B$7:AL$26,21,0)</f>
        <v>#N/A</v>
      </c>
      <c r="V34" s="128" t="e">
        <f aca="false">VLOOKUP(A34,saisie!B$7:AL$26,22,0)</f>
        <v>#N/A</v>
      </c>
      <c r="W34" s="129" t="e">
        <f aca="false">VLOOKUP(A34,saisie!B$7:AL$26,23,0)</f>
        <v>#N/A</v>
      </c>
      <c r="X34" s="129" t="e">
        <f aca="false">VLOOKUP(A34,saisie!B$7:AL$26,24,0)</f>
        <v>#N/A</v>
      </c>
      <c r="Y34" s="129" t="e">
        <f aca="false">VLOOKUP(A34,saisie!B$7:AL$26,25,0)</f>
        <v>#N/A</v>
      </c>
      <c r="Z34" s="130" t="e">
        <f aca="false">VLOOKUP(A34,saisie!B$7:AL$26,26,0)</f>
        <v>#N/A</v>
      </c>
      <c r="AA34" s="131" t="e">
        <f aca="false">VLOOKUP(A34,saisie!B$7:AL$26,27,0)</f>
        <v>#N/A</v>
      </c>
      <c r="AB34" s="128" t="e">
        <f aca="false">VLOOKUP(A34,saisie!B$7:AL$26,28,0)</f>
        <v>#N/A</v>
      </c>
      <c r="AC34" s="129" t="e">
        <f aca="false">VLOOKUP(A34,saisie!B$7:AL$26,29,0)</f>
        <v>#N/A</v>
      </c>
      <c r="AD34" s="129" t="e">
        <f aca="false">VLOOKUP(A34,saisie!B$7:AL$26,30,0)</f>
        <v>#N/A</v>
      </c>
      <c r="AE34" s="129" t="e">
        <f aca="false">VLOOKUP(A34,saisie!B$7:AL$26,31,0)</f>
        <v>#N/A</v>
      </c>
      <c r="AF34" s="130" t="e">
        <f aca="false">VLOOKUP(A34,saisie!B$7:AL$26,32,0)</f>
        <v>#N/A</v>
      </c>
      <c r="AG34" s="131" t="e">
        <f aca="false">VLOOKUP(A34,saisie!B$7:AL$26,33,0)</f>
        <v>#N/A</v>
      </c>
      <c r="AH34" s="136" t="e">
        <f aca="false">VLOOKUP(A34,saisie!B$7:AL$26,34,0)</f>
        <v>#N/A</v>
      </c>
      <c r="AI34" s="133" t="e">
        <f aca="false">VLOOKUP(A34,saisie!B$7:AL$26,35,0)</f>
        <v>#N/A</v>
      </c>
      <c r="AJ34" s="134"/>
    </row>
    <row r="35" s="107" customFormat="true" ht="109" hidden="false" customHeight="true" outlineLevel="0" collapsed="false">
      <c r="A35" s="135" t="str">
        <f aca="false">IF(INFO!B8&gt;28,29,"")</f>
        <v/>
      </c>
      <c r="B35" s="126" t="e">
        <f aca="false">VLOOKUP(A35,saisie!B$7:AL$26,2,0)</f>
        <v>#N/A</v>
      </c>
      <c r="C35" s="127" t="e">
        <f aca="false">VLOOKUP(A35,saisie!B$7:AL$26,3,0)</f>
        <v>#N/A</v>
      </c>
      <c r="D35" s="128" t="e">
        <f aca="false">VLOOKUP(A35,saisie!B$7:AL$26,4,0)</f>
        <v>#N/A</v>
      </c>
      <c r="E35" s="129" t="e">
        <f aca="false">VLOOKUP(A35,saisie!B$7:AL$26,5,0)</f>
        <v>#N/A</v>
      </c>
      <c r="F35" s="129" t="e">
        <f aca="false">VLOOKUP(A35,saisie!B$7:AL$26,6,0)</f>
        <v>#N/A</v>
      </c>
      <c r="G35" s="129" t="e">
        <f aca="false">VLOOKUP(A35,saisie!B$7:AL$26,7,0)</f>
        <v>#N/A</v>
      </c>
      <c r="H35" s="130" t="e">
        <f aca="false">VLOOKUP(A35,saisie!B$7:AL$26,8,0)</f>
        <v>#N/A</v>
      </c>
      <c r="I35" s="131" t="e">
        <f aca="false">VLOOKUP(A35,saisie!B$7:AL$26,9,0)</f>
        <v>#N/A</v>
      </c>
      <c r="J35" s="128" t="e">
        <f aca="false">VLOOKUP(A35,saisie!B$7:AL$26,10,0)</f>
        <v>#N/A</v>
      </c>
      <c r="K35" s="129" t="e">
        <f aca="false">VLOOKUP(A35,saisie!B$7:AL$26,11,0)</f>
        <v>#N/A</v>
      </c>
      <c r="L35" s="129" t="e">
        <f aca="false">VLOOKUP(A35,saisie!B$7:AL$26,12,0)</f>
        <v>#N/A</v>
      </c>
      <c r="M35" s="129" t="e">
        <f aca="false">VLOOKUP(A35,saisie!B$7:AL$26,13,0)</f>
        <v>#N/A</v>
      </c>
      <c r="N35" s="130" t="e">
        <f aca="false">VLOOKUP(A35,saisie!B$7:AL$26,14,0)</f>
        <v>#N/A</v>
      </c>
      <c r="O35" s="131" t="e">
        <f aca="false">VLOOKUP(A35,saisie!B$7:AL$26,15,0)</f>
        <v>#N/A</v>
      </c>
      <c r="P35" s="128" t="e">
        <f aca="false">VLOOKUP(A35,saisie!B$7:AL$26,16,0)</f>
        <v>#N/A</v>
      </c>
      <c r="Q35" s="129" t="e">
        <f aca="false">VLOOKUP(A35,saisie!B$7:AL$26,17,0)</f>
        <v>#N/A</v>
      </c>
      <c r="R35" s="129" t="e">
        <f aca="false">VLOOKUP(A35,saisie!B$7:AL$26,18,0)</f>
        <v>#N/A</v>
      </c>
      <c r="S35" s="129" t="e">
        <f aca="false">VLOOKUP(A35,saisie!B$7:AL$26,19,0)</f>
        <v>#N/A</v>
      </c>
      <c r="T35" s="130" t="e">
        <f aca="false">VLOOKUP(A35,saisie!B$7:AL$26,20,0)</f>
        <v>#N/A</v>
      </c>
      <c r="U35" s="131" t="e">
        <f aca="false">VLOOKUP(A35,saisie!B$7:AL$26,21,0)</f>
        <v>#N/A</v>
      </c>
      <c r="V35" s="128" t="e">
        <f aca="false">VLOOKUP(A35,saisie!B$7:AL$26,22,0)</f>
        <v>#N/A</v>
      </c>
      <c r="W35" s="129" t="e">
        <f aca="false">VLOOKUP(A35,saisie!B$7:AL$26,23,0)</f>
        <v>#N/A</v>
      </c>
      <c r="X35" s="129" t="e">
        <f aca="false">VLOOKUP(A35,saisie!B$7:AL$26,24,0)</f>
        <v>#N/A</v>
      </c>
      <c r="Y35" s="129" t="e">
        <f aca="false">VLOOKUP(A35,saisie!B$7:AL$26,25,0)</f>
        <v>#N/A</v>
      </c>
      <c r="Z35" s="130" t="e">
        <f aca="false">VLOOKUP(A35,saisie!B$7:AL$26,26,0)</f>
        <v>#N/A</v>
      </c>
      <c r="AA35" s="131" t="e">
        <f aca="false">VLOOKUP(A35,saisie!B$7:AL$26,27,0)</f>
        <v>#N/A</v>
      </c>
      <c r="AB35" s="128" t="e">
        <f aca="false">VLOOKUP(A35,saisie!B$7:AL$26,28,0)</f>
        <v>#N/A</v>
      </c>
      <c r="AC35" s="129" t="e">
        <f aca="false">VLOOKUP(A35,saisie!B$7:AL$26,29,0)</f>
        <v>#N/A</v>
      </c>
      <c r="AD35" s="129" t="e">
        <f aca="false">VLOOKUP(A35,saisie!B$7:AL$26,30,0)</f>
        <v>#N/A</v>
      </c>
      <c r="AE35" s="129" t="e">
        <f aca="false">VLOOKUP(A35,saisie!B$7:AL$26,31,0)</f>
        <v>#N/A</v>
      </c>
      <c r="AF35" s="130" t="e">
        <f aca="false">VLOOKUP(A35,saisie!B$7:AL$26,32,0)</f>
        <v>#N/A</v>
      </c>
      <c r="AG35" s="131" t="e">
        <f aca="false">VLOOKUP(A35,saisie!B$7:AL$26,33,0)</f>
        <v>#N/A</v>
      </c>
      <c r="AH35" s="136" t="e">
        <f aca="false">VLOOKUP(A35,saisie!B$7:AL$26,34,0)</f>
        <v>#N/A</v>
      </c>
      <c r="AI35" s="133" t="e">
        <f aca="false">VLOOKUP(A35,saisie!B$7:AL$26,35,0)</f>
        <v>#N/A</v>
      </c>
      <c r="AJ35" s="134"/>
    </row>
    <row r="36" s="107" customFormat="true" ht="109" hidden="false" customHeight="true" outlineLevel="0" collapsed="false">
      <c r="A36" s="135" t="str">
        <f aca="false">IF(INFO!B8&gt;29,30,"")</f>
        <v/>
      </c>
      <c r="B36" s="126" t="e">
        <f aca="false">VLOOKUP(A36,saisie!B$7:AL$26,2,0)</f>
        <v>#N/A</v>
      </c>
      <c r="C36" s="127" t="e">
        <f aca="false">VLOOKUP(A36,saisie!B$7:AL$26,3,0)</f>
        <v>#N/A</v>
      </c>
      <c r="D36" s="128" t="e">
        <f aca="false">VLOOKUP(A36,saisie!B$7:AL$26,4,0)</f>
        <v>#N/A</v>
      </c>
      <c r="E36" s="129" t="e">
        <f aca="false">VLOOKUP(A36,saisie!B$7:AL$26,5,0)</f>
        <v>#N/A</v>
      </c>
      <c r="F36" s="129" t="e">
        <f aca="false">VLOOKUP(A36,saisie!B$7:AL$26,6,0)</f>
        <v>#N/A</v>
      </c>
      <c r="G36" s="129" t="e">
        <f aca="false">VLOOKUP(A36,saisie!B$7:AL$26,7,0)</f>
        <v>#N/A</v>
      </c>
      <c r="H36" s="130" t="e">
        <f aca="false">VLOOKUP(A36,saisie!B$7:AL$26,8,0)</f>
        <v>#N/A</v>
      </c>
      <c r="I36" s="131" t="e">
        <f aca="false">VLOOKUP(A36,saisie!B$7:AL$26,9,0)</f>
        <v>#N/A</v>
      </c>
      <c r="J36" s="128" t="e">
        <f aca="false">VLOOKUP(A36,saisie!B$7:AL$26,10,0)</f>
        <v>#N/A</v>
      </c>
      <c r="K36" s="129" t="e">
        <f aca="false">VLOOKUP(A36,saisie!B$7:AL$26,11,0)</f>
        <v>#N/A</v>
      </c>
      <c r="L36" s="129" t="e">
        <f aca="false">VLOOKUP(A36,saisie!B$7:AL$26,12,0)</f>
        <v>#N/A</v>
      </c>
      <c r="M36" s="129" t="e">
        <f aca="false">VLOOKUP(A36,saisie!B$7:AL$26,13,0)</f>
        <v>#N/A</v>
      </c>
      <c r="N36" s="130" t="e">
        <f aca="false">VLOOKUP(A36,saisie!B$7:AL$26,14,0)</f>
        <v>#N/A</v>
      </c>
      <c r="O36" s="131" t="e">
        <f aca="false">VLOOKUP(A36,saisie!B$7:AL$26,15,0)</f>
        <v>#N/A</v>
      </c>
      <c r="P36" s="128" t="e">
        <f aca="false">VLOOKUP(A36,saisie!B$7:AL$26,16,0)</f>
        <v>#N/A</v>
      </c>
      <c r="Q36" s="129" t="e">
        <f aca="false">VLOOKUP(A36,saisie!B$7:AL$26,17,0)</f>
        <v>#N/A</v>
      </c>
      <c r="R36" s="129" t="e">
        <f aca="false">VLOOKUP(A36,saisie!B$7:AL$26,18,0)</f>
        <v>#N/A</v>
      </c>
      <c r="S36" s="129" t="e">
        <f aca="false">VLOOKUP(A36,saisie!B$7:AL$26,19,0)</f>
        <v>#N/A</v>
      </c>
      <c r="T36" s="130" t="e">
        <f aca="false">VLOOKUP(A36,saisie!B$7:AL$26,20,0)</f>
        <v>#N/A</v>
      </c>
      <c r="U36" s="131" t="e">
        <f aca="false">VLOOKUP(A36,saisie!B$7:AL$26,21,0)</f>
        <v>#N/A</v>
      </c>
      <c r="V36" s="128" t="e">
        <f aca="false">VLOOKUP(A36,saisie!B$7:AL$26,22,0)</f>
        <v>#N/A</v>
      </c>
      <c r="W36" s="129" t="e">
        <f aca="false">VLOOKUP(A36,saisie!B$7:AL$26,23,0)</f>
        <v>#N/A</v>
      </c>
      <c r="X36" s="129" t="e">
        <f aca="false">VLOOKUP(A36,saisie!B$7:AL$26,24,0)</f>
        <v>#N/A</v>
      </c>
      <c r="Y36" s="129" t="e">
        <f aca="false">VLOOKUP(A36,saisie!B$7:AL$26,25,0)</f>
        <v>#N/A</v>
      </c>
      <c r="Z36" s="130" t="e">
        <f aca="false">VLOOKUP(A36,saisie!B$7:AL$26,26,0)</f>
        <v>#N/A</v>
      </c>
      <c r="AA36" s="131" t="e">
        <f aca="false">VLOOKUP(A36,saisie!B$7:AL$26,27,0)</f>
        <v>#N/A</v>
      </c>
      <c r="AB36" s="128" t="e">
        <f aca="false">VLOOKUP(A36,saisie!B$7:AL$26,28,0)</f>
        <v>#N/A</v>
      </c>
      <c r="AC36" s="129" t="e">
        <f aca="false">VLOOKUP(A36,saisie!B$7:AL$26,29,0)</f>
        <v>#N/A</v>
      </c>
      <c r="AD36" s="129" t="e">
        <f aca="false">VLOOKUP(A36,saisie!B$7:AL$26,30,0)</f>
        <v>#N/A</v>
      </c>
      <c r="AE36" s="129" t="e">
        <f aca="false">VLOOKUP(A36,saisie!B$7:AL$26,31,0)</f>
        <v>#N/A</v>
      </c>
      <c r="AF36" s="130" t="e">
        <f aca="false">VLOOKUP(A36,saisie!B$7:AL$26,32,0)</f>
        <v>#N/A</v>
      </c>
      <c r="AG36" s="131" t="e">
        <f aca="false">VLOOKUP(A36,saisie!B$7:AL$26,33,0)</f>
        <v>#N/A</v>
      </c>
      <c r="AH36" s="136" t="e">
        <f aca="false">VLOOKUP(A36,saisie!B$7:AL$26,34,0)</f>
        <v>#N/A</v>
      </c>
      <c r="AI36" s="133" t="e">
        <f aca="false">VLOOKUP(A36,saisie!B$7:AL$26,35,0)</f>
        <v>#N/A</v>
      </c>
      <c r="AJ36" s="134"/>
    </row>
    <row r="37" s="107" customFormat="true" ht="109" hidden="false" customHeight="true" outlineLevel="0" collapsed="false">
      <c r="A37" s="135" t="str">
        <f aca="false">IF(INFO!B8&gt;30,31,"")</f>
        <v/>
      </c>
      <c r="B37" s="126" t="e">
        <f aca="false">VLOOKUP(A37,saisie!B$7:AL$26,2,0)</f>
        <v>#N/A</v>
      </c>
      <c r="C37" s="127" t="e">
        <f aca="false">VLOOKUP(A37,saisie!B$7:AL$26,3,0)</f>
        <v>#N/A</v>
      </c>
      <c r="D37" s="128" t="e">
        <f aca="false">VLOOKUP(A37,saisie!B$7:AL$26,4,0)</f>
        <v>#N/A</v>
      </c>
      <c r="E37" s="129" t="e">
        <f aca="false">VLOOKUP(A37,saisie!B$7:AL$26,5,0)</f>
        <v>#N/A</v>
      </c>
      <c r="F37" s="129" t="e">
        <f aca="false">VLOOKUP(A37,saisie!B$7:AL$26,6,0)</f>
        <v>#N/A</v>
      </c>
      <c r="G37" s="129" t="e">
        <f aca="false">VLOOKUP(A37,saisie!B$7:AL$26,7,0)</f>
        <v>#N/A</v>
      </c>
      <c r="H37" s="130" t="e">
        <f aca="false">VLOOKUP(A37,saisie!B$7:AL$26,8,0)</f>
        <v>#N/A</v>
      </c>
      <c r="I37" s="131" t="e">
        <f aca="false">VLOOKUP(A37,saisie!B$7:AL$26,9,0)</f>
        <v>#N/A</v>
      </c>
      <c r="J37" s="128" t="e">
        <f aca="false">VLOOKUP(A37,saisie!B$7:AL$26,10,0)</f>
        <v>#N/A</v>
      </c>
      <c r="K37" s="129" t="e">
        <f aca="false">VLOOKUP(A37,saisie!B$7:AL$26,11,0)</f>
        <v>#N/A</v>
      </c>
      <c r="L37" s="129" t="e">
        <f aca="false">VLOOKUP(A37,saisie!B$7:AL$26,12,0)</f>
        <v>#N/A</v>
      </c>
      <c r="M37" s="129" t="e">
        <f aca="false">VLOOKUP(A37,saisie!B$7:AL$26,13,0)</f>
        <v>#N/A</v>
      </c>
      <c r="N37" s="130" t="e">
        <f aca="false">VLOOKUP(A37,saisie!B$7:AL$26,14,0)</f>
        <v>#N/A</v>
      </c>
      <c r="O37" s="131" t="e">
        <f aca="false">VLOOKUP(A37,saisie!B$7:AL$26,15,0)</f>
        <v>#N/A</v>
      </c>
      <c r="P37" s="128" t="e">
        <f aca="false">VLOOKUP(A37,saisie!B$7:AL$26,16,0)</f>
        <v>#N/A</v>
      </c>
      <c r="Q37" s="129" t="e">
        <f aca="false">VLOOKUP(A37,saisie!B$7:AL$26,17,0)</f>
        <v>#N/A</v>
      </c>
      <c r="R37" s="129" t="e">
        <f aca="false">VLOOKUP(A37,saisie!B$7:AL$26,18,0)</f>
        <v>#N/A</v>
      </c>
      <c r="S37" s="129" t="e">
        <f aca="false">VLOOKUP(A37,saisie!B$7:AL$26,19,0)</f>
        <v>#N/A</v>
      </c>
      <c r="T37" s="130" t="e">
        <f aca="false">VLOOKUP(A37,saisie!B$7:AL$26,20,0)</f>
        <v>#N/A</v>
      </c>
      <c r="U37" s="131" t="e">
        <f aca="false">VLOOKUP(A37,saisie!B$7:AL$26,21,0)</f>
        <v>#N/A</v>
      </c>
      <c r="V37" s="128" t="e">
        <f aca="false">VLOOKUP(A37,saisie!B$7:AL$26,22,0)</f>
        <v>#N/A</v>
      </c>
      <c r="W37" s="129" t="e">
        <f aca="false">VLOOKUP(A37,saisie!B$7:AL$26,23,0)</f>
        <v>#N/A</v>
      </c>
      <c r="X37" s="129" t="e">
        <f aca="false">VLOOKUP(A37,saisie!B$7:AL$26,24,0)</f>
        <v>#N/A</v>
      </c>
      <c r="Y37" s="129" t="e">
        <f aca="false">VLOOKUP(A37,saisie!B$7:AL$26,25,0)</f>
        <v>#N/A</v>
      </c>
      <c r="Z37" s="130" t="e">
        <f aca="false">VLOOKUP(A37,saisie!B$7:AL$26,26,0)</f>
        <v>#N/A</v>
      </c>
      <c r="AA37" s="131" t="e">
        <f aca="false">VLOOKUP(A37,saisie!B$7:AL$26,27,0)</f>
        <v>#N/A</v>
      </c>
      <c r="AB37" s="128" t="e">
        <f aca="false">VLOOKUP(A37,saisie!B$7:AL$26,28,0)</f>
        <v>#N/A</v>
      </c>
      <c r="AC37" s="129" t="e">
        <f aca="false">VLOOKUP(A37,saisie!B$7:AL$26,29,0)</f>
        <v>#N/A</v>
      </c>
      <c r="AD37" s="129" t="e">
        <f aca="false">VLOOKUP(A37,saisie!B$7:AL$26,30,0)</f>
        <v>#N/A</v>
      </c>
      <c r="AE37" s="129" t="e">
        <f aca="false">VLOOKUP(A37,saisie!B$7:AL$26,31,0)</f>
        <v>#N/A</v>
      </c>
      <c r="AF37" s="130" t="e">
        <f aca="false">VLOOKUP(A37,saisie!B$7:AL$26,32,0)</f>
        <v>#N/A</v>
      </c>
      <c r="AG37" s="131" t="e">
        <f aca="false">VLOOKUP(A37,saisie!B$7:AL$26,33,0)</f>
        <v>#N/A</v>
      </c>
      <c r="AH37" s="136" t="e">
        <f aca="false">VLOOKUP(A37,saisie!B$7:AL$26,34,0)</f>
        <v>#N/A</v>
      </c>
      <c r="AI37" s="133" t="e">
        <f aca="false">VLOOKUP(A37,saisie!B$7:AL$26,35,0)</f>
        <v>#N/A</v>
      </c>
      <c r="AJ37" s="134"/>
    </row>
    <row r="38" s="107" customFormat="true" ht="109" hidden="false" customHeight="true" outlineLevel="0" collapsed="false">
      <c r="A38" s="135" t="str">
        <f aca="false">IF(INFO!B8&gt;31,32,"")</f>
        <v/>
      </c>
      <c r="B38" s="126" t="e">
        <f aca="false">VLOOKUP(A38,saisie!B$7:AL$26,2,0)</f>
        <v>#N/A</v>
      </c>
      <c r="C38" s="127" t="e">
        <f aca="false">VLOOKUP(A38,saisie!B$7:AL$26,3,0)</f>
        <v>#N/A</v>
      </c>
      <c r="D38" s="128" t="e">
        <f aca="false">VLOOKUP(A38,saisie!B$7:AL$26,4,0)</f>
        <v>#N/A</v>
      </c>
      <c r="E38" s="129" t="e">
        <f aca="false">VLOOKUP(A38,saisie!B$7:AL$26,5,0)</f>
        <v>#N/A</v>
      </c>
      <c r="F38" s="129" t="e">
        <f aca="false">VLOOKUP(A38,saisie!B$7:AL$26,6,0)</f>
        <v>#N/A</v>
      </c>
      <c r="G38" s="129" t="e">
        <f aca="false">VLOOKUP(A38,saisie!B$7:AL$26,7,0)</f>
        <v>#N/A</v>
      </c>
      <c r="H38" s="130" t="e">
        <f aca="false">VLOOKUP(A38,saisie!B$7:AL$26,8,0)</f>
        <v>#N/A</v>
      </c>
      <c r="I38" s="131" t="e">
        <f aca="false">VLOOKUP(A38,saisie!B$7:AL$26,9,0)</f>
        <v>#N/A</v>
      </c>
      <c r="J38" s="128" t="e">
        <f aca="false">VLOOKUP(A38,saisie!B$7:AL$26,10,0)</f>
        <v>#N/A</v>
      </c>
      <c r="K38" s="129" t="e">
        <f aca="false">VLOOKUP(A38,saisie!B$7:AL$26,11,0)</f>
        <v>#N/A</v>
      </c>
      <c r="L38" s="129" t="e">
        <f aca="false">VLOOKUP(A38,saisie!B$7:AL$26,12,0)</f>
        <v>#N/A</v>
      </c>
      <c r="M38" s="129" t="e">
        <f aca="false">VLOOKUP(A38,saisie!B$7:AL$26,13,0)</f>
        <v>#N/A</v>
      </c>
      <c r="N38" s="130" t="e">
        <f aca="false">VLOOKUP(A38,saisie!B$7:AL$26,14,0)</f>
        <v>#N/A</v>
      </c>
      <c r="O38" s="131" t="e">
        <f aca="false">VLOOKUP(A38,saisie!B$7:AL$26,15,0)</f>
        <v>#N/A</v>
      </c>
      <c r="P38" s="128" t="e">
        <f aca="false">VLOOKUP(A38,saisie!B$7:AL$26,16,0)</f>
        <v>#N/A</v>
      </c>
      <c r="Q38" s="129" t="e">
        <f aca="false">VLOOKUP(A38,saisie!B$7:AL$26,17,0)</f>
        <v>#N/A</v>
      </c>
      <c r="R38" s="129" t="e">
        <f aca="false">VLOOKUP(A38,saisie!B$7:AL$26,18,0)</f>
        <v>#N/A</v>
      </c>
      <c r="S38" s="129" t="e">
        <f aca="false">VLOOKUP(A38,saisie!B$7:AL$26,19,0)</f>
        <v>#N/A</v>
      </c>
      <c r="T38" s="130" t="e">
        <f aca="false">VLOOKUP(A38,saisie!B$7:AL$26,20,0)</f>
        <v>#N/A</v>
      </c>
      <c r="U38" s="131" t="e">
        <f aca="false">VLOOKUP(A38,saisie!B$7:AL$26,21,0)</f>
        <v>#N/A</v>
      </c>
      <c r="V38" s="128" t="e">
        <f aca="false">VLOOKUP(A38,saisie!B$7:AL$26,22,0)</f>
        <v>#N/A</v>
      </c>
      <c r="W38" s="129" t="e">
        <f aca="false">VLOOKUP(A38,saisie!B$7:AL$26,23,0)</f>
        <v>#N/A</v>
      </c>
      <c r="X38" s="129" t="e">
        <f aca="false">VLOOKUP(A38,saisie!B$7:AL$26,24,0)</f>
        <v>#N/A</v>
      </c>
      <c r="Y38" s="129" t="e">
        <f aca="false">VLOOKUP(A38,saisie!B$7:AL$26,25,0)</f>
        <v>#N/A</v>
      </c>
      <c r="Z38" s="130" t="e">
        <f aca="false">VLOOKUP(A38,saisie!B$7:AL$26,26,0)</f>
        <v>#N/A</v>
      </c>
      <c r="AA38" s="131" t="e">
        <f aca="false">VLOOKUP(A38,saisie!B$7:AL$26,27,0)</f>
        <v>#N/A</v>
      </c>
      <c r="AB38" s="128" t="e">
        <f aca="false">VLOOKUP(A38,saisie!B$7:AL$26,28,0)</f>
        <v>#N/A</v>
      </c>
      <c r="AC38" s="129" t="e">
        <f aca="false">VLOOKUP(A38,saisie!B$7:AL$26,29,0)</f>
        <v>#N/A</v>
      </c>
      <c r="AD38" s="129" t="e">
        <f aca="false">VLOOKUP(A38,saisie!B$7:AL$26,30,0)</f>
        <v>#N/A</v>
      </c>
      <c r="AE38" s="129" t="e">
        <f aca="false">VLOOKUP(A38,saisie!B$7:AL$26,31,0)</f>
        <v>#N/A</v>
      </c>
      <c r="AF38" s="130" t="e">
        <f aca="false">VLOOKUP(A38,saisie!B$7:AL$26,32,0)</f>
        <v>#N/A</v>
      </c>
      <c r="AG38" s="131" t="e">
        <f aca="false">VLOOKUP(A38,saisie!B$7:AL$26,33,0)</f>
        <v>#N/A</v>
      </c>
      <c r="AH38" s="136" t="e">
        <f aca="false">VLOOKUP(A38,saisie!B$7:AL$26,34,0)</f>
        <v>#N/A</v>
      </c>
      <c r="AI38" s="133" t="e">
        <f aca="false">VLOOKUP(A38,saisie!B$7:AL$26,35,0)</f>
        <v>#N/A</v>
      </c>
      <c r="AJ38" s="134"/>
    </row>
    <row r="39" s="107" customFormat="true" ht="109" hidden="false" customHeight="true" outlineLevel="0" collapsed="false">
      <c r="A39" s="135" t="str">
        <f aca="false">IF(INFO!B8&gt;32,33,"")</f>
        <v/>
      </c>
      <c r="B39" s="126" t="e">
        <f aca="false">VLOOKUP(A39,saisie!B$7:AL$26,2,0)</f>
        <v>#N/A</v>
      </c>
      <c r="C39" s="127" t="e">
        <f aca="false">VLOOKUP(A39,saisie!B$7:AL$26,3,0)</f>
        <v>#N/A</v>
      </c>
      <c r="D39" s="128" t="e">
        <f aca="false">VLOOKUP(A39,saisie!B$7:AL$26,4,0)</f>
        <v>#N/A</v>
      </c>
      <c r="E39" s="129" t="e">
        <f aca="false">VLOOKUP(A39,saisie!B$7:AL$26,5,0)</f>
        <v>#N/A</v>
      </c>
      <c r="F39" s="129" t="e">
        <f aca="false">VLOOKUP(A39,saisie!B$7:AL$26,6,0)</f>
        <v>#N/A</v>
      </c>
      <c r="G39" s="129" t="e">
        <f aca="false">VLOOKUP(A39,saisie!B$7:AL$26,7,0)</f>
        <v>#N/A</v>
      </c>
      <c r="H39" s="130" t="e">
        <f aca="false">VLOOKUP(A39,saisie!B$7:AL$26,8,0)</f>
        <v>#N/A</v>
      </c>
      <c r="I39" s="131" t="e">
        <f aca="false">VLOOKUP(A39,saisie!B$7:AL$26,9,0)</f>
        <v>#N/A</v>
      </c>
      <c r="J39" s="128" t="e">
        <f aca="false">VLOOKUP(A39,saisie!B$7:AL$26,10,0)</f>
        <v>#N/A</v>
      </c>
      <c r="K39" s="129" t="e">
        <f aca="false">VLOOKUP(A39,saisie!B$7:AL$26,11,0)</f>
        <v>#N/A</v>
      </c>
      <c r="L39" s="129" t="e">
        <f aca="false">VLOOKUP(A39,saisie!B$7:AL$26,12,0)</f>
        <v>#N/A</v>
      </c>
      <c r="M39" s="129" t="e">
        <f aca="false">VLOOKUP(A39,saisie!B$7:AL$26,13,0)</f>
        <v>#N/A</v>
      </c>
      <c r="N39" s="130" t="e">
        <f aca="false">VLOOKUP(A39,saisie!B$7:AL$26,14,0)</f>
        <v>#N/A</v>
      </c>
      <c r="O39" s="131" t="e">
        <f aca="false">VLOOKUP(A39,saisie!B$7:AL$26,15,0)</f>
        <v>#N/A</v>
      </c>
      <c r="P39" s="128" t="e">
        <f aca="false">VLOOKUP(A39,saisie!B$7:AL$26,16,0)</f>
        <v>#N/A</v>
      </c>
      <c r="Q39" s="129" t="e">
        <f aca="false">VLOOKUP(A39,saisie!B$7:AL$26,17,0)</f>
        <v>#N/A</v>
      </c>
      <c r="R39" s="129" t="e">
        <f aca="false">VLOOKUP(A39,saisie!B$7:AL$26,18,0)</f>
        <v>#N/A</v>
      </c>
      <c r="S39" s="129" t="e">
        <f aca="false">VLOOKUP(A39,saisie!B$7:AL$26,19,0)</f>
        <v>#N/A</v>
      </c>
      <c r="T39" s="130" t="e">
        <f aca="false">VLOOKUP(A39,saisie!B$7:AL$26,20,0)</f>
        <v>#N/A</v>
      </c>
      <c r="U39" s="131" t="e">
        <f aca="false">VLOOKUP(A39,saisie!B$7:AL$26,21,0)</f>
        <v>#N/A</v>
      </c>
      <c r="V39" s="128" t="e">
        <f aca="false">VLOOKUP(A39,saisie!B$7:AL$26,22,0)</f>
        <v>#N/A</v>
      </c>
      <c r="W39" s="129" t="e">
        <f aca="false">VLOOKUP(A39,saisie!B$7:AL$26,23,0)</f>
        <v>#N/A</v>
      </c>
      <c r="X39" s="129" t="e">
        <f aca="false">VLOOKUP(A39,saisie!B$7:AL$26,24,0)</f>
        <v>#N/A</v>
      </c>
      <c r="Y39" s="129" t="e">
        <f aca="false">VLOOKUP(A39,saisie!B$7:AL$26,25,0)</f>
        <v>#N/A</v>
      </c>
      <c r="Z39" s="130" t="e">
        <f aca="false">VLOOKUP(A39,saisie!B$7:AL$26,26,0)</f>
        <v>#N/A</v>
      </c>
      <c r="AA39" s="131" t="e">
        <f aca="false">VLOOKUP(A39,saisie!B$7:AL$26,27,0)</f>
        <v>#N/A</v>
      </c>
      <c r="AB39" s="128" t="e">
        <f aca="false">VLOOKUP(A39,saisie!B$7:AL$26,28,0)</f>
        <v>#N/A</v>
      </c>
      <c r="AC39" s="129" t="e">
        <f aca="false">VLOOKUP(A39,saisie!B$7:AL$26,29,0)</f>
        <v>#N/A</v>
      </c>
      <c r="AD39" s="129" t="e">
        <f aca="false">VLOOKUP(A39,saisie!B$7:AL$26,30,0)</f>
        <v>#N/A</v>
      </c>
      <c r="AE39" s="129" t="e">
        <f aca="false">VLOOKUP(A39,saisie!B$7:AL$26,31,0)</f>
        <v>#N/A</v>
      </c>
      <c r="AF39" s="130" t="e">
        <f aca="false">VLOOKUP(A39,saisie!B$7:AL$26,32,0)</f>
        <v>#N/A</v>
      </c>
      <c r="AG39" s="131" t="e">
        <f aca="false">VLOOKUP(A39,saisie!B$7:AL$26,33,0)</f>
        <v>#N/A</v>
      </c>
      <c r="AH39" s="136" t="e">
        <f aca="false">VLOOKUP(A39,saisie!B$7:AL$26,34,0)</f>
        <v>#N/A</v>
      </c>
      <c r="AI39" s="133" t="e">
        <f aca="false">VLOOKUP(A39,saisie!B$7:AL$26,35,0)</f>
        <v>#N/A</v>
      </c>
      <c r="AJ39" s="134"/>
    </row>
    <row r="40" s="107" customFormat="true" ht="109" hidden="false" customHeight="true" outlineLevel="0" collapsed="false">
      <c r="A40" s="135" t="str">
        <f aca="false">IF(INFO!B8&gt;33,34,"")</f>
        <v/>
      </c>
      <c r="B40" s="126" t="e">
        <f aca="false">VLOOKUP(A40,saisie!B$7:AL$26,2,0)</f>
        <v>#N/A</v>
      </c>
      <c r="C40" s="127" t="e">
        <f aca="false">VLOOKUP(A40,saisie!B$7:AL$26,3,0)</f>
        <v>#N/A</v>
      </c>
      <c r="D40" s="128" t="e">
        <f aca="false">VLOOKUP(A40,saisie!B$7:AL$26,4,0)</f>
        <v>#N/A</v>
      </c>
      <c r="E40" s="129" t="e">
        <f aca="false">VLOOKUP(A40,saisie!B$7:AL$26,5,0)</f>
        <v>#N/A</v>
      </c>
      <c r="F40" s="129" t="e">
        <f aca="false">VLOOKUP(A40,saisie!B$7:AL$26,6,0)</f>
        <v>#N/A</v>
      </c>
      <c r="G40" s="129" t="e">
        <f aca="false">VLOOKUP(A40,saisie!B$7:AL$26,7,0)</f>
        <v>#N/A</v>
      </c>
      <c r="H40" s="130" t="e">
        <f aca="false">VLOOKUP(A40,saisie!B$7:AL$26,8,0)</f>
        <v>#N/A</v>
      </c>
      <c r="I40" s="131" t="e">
        <f aca="false">VLOOKUP(A40,saisie!B$7:AL$26,9,0)</f>
        <v>#N/A</v>
      </c>
      <c r="J40" s="128" t="e">
        <f aca="false">VLOOKUP(A40,saisie!B$7:AL$26,10,0)</f>
        <v>#N/A</v>
      </c>
      <c r="K40" s="129" t="e">
        <f aca="false">VLOOKUP(A40,saisie!B$7:AL$26,11,0)</f>
        <v>#N/A</v>
      </c>
      <c r="L40" s="129" t="e">
        <f aca="false">VLOOKUP(A40,saisie!B$7:AL$26,12,0)</f>
        <v>#N/A</v>
      </c>
      <c r="M40" s="129" t="e">
        <f aca="false">VLOOKUP(A40,saisie!B$7:AL$26,13,0)</f>
        <v>#N/A</v>
      </c>
      <c r="N40" s="130" t="e">
        <f aca="false">VLOOKUP(A40,saisie!B$7:AL$26,14,0)</f>
        <v>#N/A</v>
      </c>
      <c r="O40" s="131" t="e">
        <f aca="false">VLOOKUP(A40,saisie!B$7:AL$26,15,0)</f>
        <v>#N/A</v>
      </c>
      <c r="P40" s="128" t="e">
        <f aca="false">VLOOKUP(A40,saisie!B$7:AL$26,16,0)</f>
        <v>#N/A</v>
      </c>
      <c r="Q40" s="129" t="e">
        <f aca="false">VLOOKUP(A40,saisie!B$7:AL$26,17,0)</f>
        <v>#N/A</v>
      </c>
      <c r="R40" s="129" t="e">
        <f aca="false">VLOOKUP(A40,saisie!B$7:AL$26,18,0)</f>
        <v>#N/A</v>
      </c>
      <c r="S40" s="129" t="e">
        <f aca="false">VLOOKUP(A40,saisie!B$7:AL$26,19,0)</f>
        <v>#N/A</v>
      </c>
      <c r="T40" s="130" t="e">
        <f aca="false">VLOOKUP(A40,saisie!B$7:AL$26,20,0)</f>
        <v>#N/A</v>
      </c>
      <c r="U40" s="131" t="e">
        <f aca="false">VLOOKUP(A40,saisie!B$7:AL$26,21,0)</f>
        <v>#N/A</v>
      </c>
      <c r="V40" s="128" t="e">
        <f aca="false">VLOOKUP(A40,saisie!B$7:AL$26,22,0)</f>
        <v>#N/A</v>
      </c>
      <c r="W40" s="129" t="e">
        <f aca="false">VLOOKUP(A40,saisie!B$7:AL$26,23,0)</f>
        <v>#N/A</v>
      </c>
      <c r="X40" s="129" t="e">
        <f aca="false">VLOOKUP(A40,saisie!B$7:AL$26,24,0)</f>
        <v>#N/A</v>
      </c>
      <c r="Y40" s="129" t="e">
        <f aca="false">VLOOKUP(A40,saisie!B$7:AL$26,25,0)</f>
        <v>#N/A</v>
      </c>
      <c r="Z40" s="130" t="e">
        <f aca="false">VLOOKUP(A40,saisie!B$7:AL$26,26,0)</f>
        <v>#N/A</v>
      </c>
      <c r="AA40" s="131" t="e">
        <f aca="false">VLOOKUP(A40,saisie!B$7:AL$26,27,0)</f>
        <v>#N/A</v>
      </c>
      <c r="AB40" s="128" t="e">
        <f aca="false">VLOOKUP(A40,saisie!B$7:AL$26,28,0)</f>
        <v>#N/A</v>
      </c>
      <c r="AC40" s="129" t="e">
        <f aca="false">VLOOKUP(A40,saisie!B$7:AL$26,29,0)</f>
        <v>#N/A</v>
      </c>
      <c r="AD40" s="129" t="e">
        <f aca="false">VLOOKUP(A40,saisie!B$7:AL$26,30,0)</f>
        <v>#N/A</v>
      </c>
      <c r="AE40" s="129" t="e">
        <f aca="false">VLOOKUP(A40,saisie!B$7:AL$26,31,0)</f>
        <v>#N/A</v>
      </c>
      <c r="AF40" s="130" t="e">
        <f aca="false">VLOOKUP(A40,saisie!B$7:AL$26,32,0)</f>
        <v>#N/A</v>
      </c>
      <c r="AG40" s="131" t="e">
        <f aca="false">VLOOKUP(A40,saisie!B$7:AL$26,33,0)</f>
        <v>#N/A</v>
      </c>
      <c r="AH40" s="136" t="e">
        <f aca="false">VLOOKUP(A40,saisie!B$7:AL$26,34,0)</f>
        <v>#N/A</v>
      </c>
      <c r="AI40" s="133" t="e">
        <f aca="false">VLOOKUP(A40,saisie!B$7:AL$26,35,0)</f>
        <v>#N/A</v>
      </c>
      <c r="AJ40" s="134"/>
    </row>
    <row r="41" s="107" customFormat="true" ht="109" hidden="false" customHeight="true" outlineLevel="0" collapsed="false">
      <c r="A41" s="135" t="str">
        <f aca="false">IF(INFO!B8&gt;34,35,"")</f>
        <v/>
      </c>
      <c r="B41" s="126" t="e">
        <f aca="false">VLOOKUP(A41,saisie!B$7:AL$26,2,0)</f>
        <v>#N/A</v>
      </c>
      <c r="C41" s="127" t="e">
        <f aca="false">VLOOKUP(A41,saisie!B$7:AL$26,3,0)</f>
        <v>#N/A</v>
      </c>
      <c r="D41" s="128" t="e">
        <f aca="false">VLOOKUP(A41,saisie!B$7:AL$26,4,0)</f>
        <v>#N/A</v>
      </c>
      <c r="E41" s="129" t="e">
        <f aca="false">VLOOKUP(A41,saisie!B$7:AL$26,5,0)</f>
        <v>#N/A</v>
      </c>
      <c r="F41" s="129" t="e">
        <f aca="false">VLOOKUP(A41,saisie!B$7:AL$26,6,0)</f>
        <v>#N/A</v>
      </c>
      <c r="G41" s="129" t="e">
        <f aca="false">VLOOKUP(A41,saisie!B$7:AL$26,7,0)</f>
        <v>#N/A</v>
      </c>
      <c r="H41" s="130" t="e">
        <f aca="false">VLOOKUP(A41,saisie!B$7:AL$26,8,0)</f>
        <v>#N/A</v>
      </c>
      <c r="I41" s="131" t="e">
        <f aca="false">VLOOKUP(A41,saisie!B$7:AL$26,9,0)</f>
        <v>#N/A</v>
      </c>
      <c r="J41" s="128" t="e">
        <f aca="false">VLOOKUP(A41,saisie!B$7:AL$26,10,0)</f>
        <v>#N/A</v>
      </c>
      <c r="K41" s="129" t="e">
        <f aca="false">VLOOKUP(A41,saisie!B$7:AL$26,11,0)</f>
        <v>#N/A</v>
      </c>
      <c r="L41" s="129" t="e">
        <f aca="false">VLOOKUP(A41,saisie!B$7:AL$26,12,0)</f>
        <v>#N/A</v>
      </c>
      <c r="M41" s="129" t="e">
        <f aca="false">VLOOKUP(A41,saisie!B$7:AL$26,13,0)</f>
        <v>#N/A</v>
      </c>
      <c r="N41" s="130" t="e">
        <f aca="false">VLOOKUP(A41,saisie!B$7:AL$26,14,0)</f>
        <v>#N/A</v>
      </c>
      <c r="O41" s="131" t="e">
        <f aca="false">VLOOKUP(A41,saisie!B$7:AL$26,15,0)</f>
        <v>#N/A</v>
      </c>
      <c r="P41" s="128" t="e">
        <f aca="false">VLOOKUP(A41,saisie!B$7:AL$26,16,0)</f>
        <v>#N/A</v>
      </c>
      <c r="Q41" s="129" t="e">
        <f aca="false">VLOOKUP(A41,saisie!B$7:AL$26,17,0)</f>
        <v>#N/A</v>
      </c>
      <c r="R41" s="129" t="e">
        <f aca="false">VLOOKUP(A41,saisie!B$7:AL$26,18,0)</f>
        <v>#N/A</v>
      </c>
      <c r="S41" s="129" t="e">
        <f aca="false">VLOOKUP(A41,saisie!B$7:AL$26,19,0)</f>
        <v>#N/A</v>
      </c>
      <c r="T41" s="130" t="e">
        <f aca="false">VLOOKUP(A41,saisie!B$7:AL$26,20,0)</f>
        <v>#N/A</v>
      </c>
      <c r="U41" s="131" t="e">
        <f aca="false">VLOOKUP(A41,saisie!B$7:AL$26,21,0)</f>
        <v>#N/A</v>
      </c>
      <c r="V41" s="128" t="e">
        <f aca="false">VLOOKUP(A41,saisie!B$7:AL$26,22,0)</f>
        <v>#N/A</v>
      </c>
      <c r="W41" s="129" t="e">
        <f aca="false">VLOOKUP(A41,saisie!B$7:AL$26,23,0)</f>
        <v>#N/A</v>
      </c>
      <c r="X41" s="129" t="e">
        <f aca="false">VLOOKUP(A41,saisie!B$7:AL$26,24,0)</f>
        <v>#N/A</v>
      </c>
      <c r="Y41" s="129" t="e">
        <f aca="false">VLOOKUP(A41,saisie!B$7:AL$26,25,0)</f>
        <v>#N/A</v>
      </c>
      <c r="Z41" s="130" t="e">
        <f aca="false">VLOOKUP(A41,saisie!B$7:AL$26,26,0)</f>
        <v>#N/A</v>
      </c>
      <c r="AA41" s="131" t="e">
        <f aca="false">VLOOKUP(A41,saisie!B$7:AL$26,27,0)</f>
        <v>#N/A</v>
      </c>
      <c r="AB41" s="128" t="e">
        <f aca="false">VLOOKUP(A41,saisie!B$7:AL$26,28,0)</f>
        <v>#N/A</v>
      </c>
      <c r="AC41" s="129" t="e">
        <f aca="false">VLOOKUP(A41,saisie!B$7:AL$26,29,0)</f>
        <v>#N/A</v>
      </c>
      <c r="AD41" s="129" t="e">
        <f aca="false">VLOOKUP(A41,saisie!B$7:AL$26,30,0)</f>
        <v>#N/A</v>
      </c>
      <c r="AE41" s="129" t="e">
        <f aca="false">VLOOKUP(A41,saisie!B$7:AL$26,31,0)</f>
        <v>#N/A</v>
      </c>
      <c r="AF41" s="130" t="e">
        <f aca="false">VLOOKUP(A41,saisie!B$7:AL$26,32,0)</f>
        <v>#N/A</v>
      </c>
      <c r="AG41" s="131" t="e">
        <f aca="false">VLOOKUP(A41,saisie!B$7:AL$26,33,0)</f>
        <v>#N/A</v>
      </c>
      <c r="AH41" s="136" t="e">
        <f aca="false">VLOOKUP(A41,saisie!B$7:AL$26,34,0)</f>
        <v>#N/A</v>
      </c>
      <c r="AI41" s="133" t="e">
        <f aca="false">VLOOKUP(A41,saisie!B$7:AL$26,35,0)</f>
        <v>#N/A</v>
      </c>
      <c r="AJ41" s="134"/>
    </row>
    <row r="42" s="107" customFormat="true" ht="109" hidden="false" customHeight="true" outlineLevel="0" collapsed="false">
      <c r="A42" s="135" t="str">
        <f aca="false">IF(INFO!B8&gt;35,36,"")</f>
        <v/>
      </c>
      <c r="B42" s="126" t="e">
        <f aca="false">VLOOKUP(A42,saisie!B$7:AL$26,2,0)</f>
        <v>#N/A</v>
      </c>
      <c r="C42" s="127" t="e">
        <f aca="false">VLOOKUP(A42,saisie!B$7:AL$26,3,0)</f>
        <v>#N/A</v>
      </c>
      <c r="D42" s="128" t="e">
        <f aca="false">VLOOKUP(A42,saisie!B$7:AL$26,4,0)</f>
        <v>#N/A</v>
      </c>
      <c r="E42" s="129" t="e">
        <f aca="false">VLOOKUP(A42,saisie!B$7:AL$26,5,0)</f>
        <v>#N/A</v>
      </c>
      <c r="F42" s="129" t="e">
        <f aca="false">VLOOKUP(A42,saisie!B$7:AL$26,6,0)</f>
        <v>#N/A</v>
      </c>
      <c r="G42" s="129" t="e">
        <f aca="false">VLOOKUP(A42,saisie!B$7:AL$26,7,0)</f>
        <v>#N/A</v>
      </c>
      <c r="H42" s="130" t="e">
        <f aca="false">VLOOKUP(A42,saisie!B$7:AL$26,8,0)</f>
        <v>#N/A</v>
      </c>
      <c r="I42" s="131" t="e">
        <f aca="false">VLOOKUP(A42,saisie!B$7:AL$26,9,0)</f>
        <v>#N/A</v>
      </c>
      <c r="J42" s="128" t="e">
        <f aca="false">VLOOKUP(A42,saisie!B$7:AL$26,10,0)</f>
        <v>#N/A</v>
      </c>
      <c r="K42" s="129" t="e">
        <f aca="false">VLOOKUP(A42,saisie!B$7:AL$26,11,0)</f>
        <v>#N/A</v>
      </c>
      <c r="L42" s="129" t="e">
        <f aca="false">VLOOKUP(A42,saisie!B$7:AL$26,12,0)</f>
        <v>#N/A</v>
      </c>
      <c r="M42" s="129" t="e">
        <f aca="false">VLOOKUP(A42,saisie!B$7:AL$26,13,0)</f>
        <v>#N/A</v>
      </c>
      <c r="N42" s="130" t="e">
        <f aca="false">VLOOKUP(A42,saisie!B$7:AL$26,14,0)</f>
        <v>#N/A</v>
      </c>
      <c r="O42" s="131" t="e">
        <f aca="false">VLOOKUP(A42,saisie!B$7:AL$26,15,0)</f>
        <v>#N/A</v>
      </c>
      <c r="P42" s="128" t="e">
        <f aca="false">VLOOKUP(A42,saisie!B$7:AL$26,16,0)</f>
        <v>#N/A</v>
      </c>
      <c r="Q42" s="129" t="e">
        <f aca="false">VLOOKUP(A42,saisie!B$7:AL$26,17,0)</f>
        <v>#N/A</v>
      </c>
      <c r="R42" s="129" t="e">
        <f aca="false">VLOOKUP(A42,saisie!B$7:AL$26,18,0)</f>
        <v>#N/A</v>
      </c>
      <c r="S42" s="129" t="e">
        <f aca="false">VLOOKUP(A42,saisie!B$7:AL$26,19,0)</f>
        <v>#N/A</v>
      </c>
      <c r="T42" s="130" t="e">
        <f aca="false">VLOOKUP(A42,saisie!B$7:AL$26,20,0)</f>
        <v>#N/A</v>
      </c>
      <c r="U42" s="131" t="e">
        <f aca="false">VLOOKUP(A42,saisie!B$7:AL$26,21,0)</f>
        <v>#N/A</v>
      </c>
      <c r="V42" s="128" t="e">
        <f aca="false">VLOOKUP(A42,saisie!B$7:AL$26,22,0)</f>
        <v>#N/A</v>
      </c>
      <c r="W42" s="129" t="e">
        <f aca="false">VLOOKUP(A42,saisie!B$7:AL$26,23,0)</f>
        <v>#N/A</v>
      </c>
      <c r="X42" s="129" t="e">
        <f aca="false">VLOOKUP(A42,saisie!B$7:AL$26,24,0)</f>
        <v>#N/A</v>
      </c>
      <c r="Y42" s="129" t="e">
        <f aca="false">VLOOKUP(A42,saisie!B$7:AL$26,25,0)</f>
        <v>#N/A</v>
      </c>
      <c r="Z42" s="130" t="e">
        <f aca="false">VLOOKUP(A42,saisie!B$7:AL$26,26,0)</f>
        <v>#N/A</v>
      </c>
      <c r="AA42" s="131" t="e">
        <f aca="false">VLOOKUP(A42,saisie!B$7:AL$26,27,0)</f>
        <v>#N/A</v>
      </c>
      <c r="AB42" s="128" t="e">
        <f aca="false">VLOOKUP(A42,saisie!B$7:AL$26,28,0)</f>
        <v>#N/A</v>
      </c>
      <c r="AC42" s="129" t="e">
        <f aca="false">VLOOKUP(A42,saisie!B$7:AL$26,29,0)</f>
        <v>#N/A</v>
      </c>
      <c r="AD42" s="129" t="e">
        <f aca="false">VLOOKUP(A42,saisie!B$7:AL$26,30,0)</f>
        <v>#N/A</v>
      </c>
      <c r="AE42" s="129" t="e">
        <f aca="false">VLOOKUP(A42,saisie!B$7:AL$26,31,0)</f>
        <v>#N/A</v>
      </c>
      <c r="AF42" s="130" t="e">
        <f aca="false">VLOOKUP(A42,saisie!B$7:AL$26,32,0)</f>
        <v>#N/A</v>
      </c>
      <c r="AG42" s="131" t="e">
        <f aca="false">VLOOKUP(A42,saisie!B$7:AL$26,33,0)</f>
        <v>#N/A</v>
      </c>
      <c r="AH42" s="136" t="e">
        <f aca="false">VLOOKUP(A42,saisie!B$7:AL$26,34,0)</f>
        <v>#N/A</v>
      </c>
      <c r="AI42" s="133" t="e">
        <f aca="false">VLOOKUP(A42,saisie!B$7:AL$26,35,0)</f>
        <v>#N/A</v>
      </c>
      <c r="AJ42" s="134"/>
    </row>
    <row r="43" s="107" customFormat="true" ht="109" hidden="false" customHeight="true" outlineLevel="0" collapsed="false">
      <c r="A43" s="135" t="str">
        <f aca="false">IF(INFO!B8&gt;36,37,"")</f>
        <v/>
      </c>
      <c r="B43" s="126" t="e">
        <f aca="false">VLOOKUP(A43,saisie!B$7:AL$26,2,0)</f>
        <v>#N/A</v>
      </c>
      <c r="C43" s="127" t="e">
        <f aca="false">VLOOKUP(A43,saisie!B$7:AL$26,3,0)</f>
        <v>#N/A</v>
      </c>
      <c r="D43" s="128" t="e">
        <f aca="false">VLOOKUP(A43,saisie!B$7:AL$26,4,0)</f>
        <v>#N/A</v>
      </c>
      <c r="E43" s="129" t="e">
        <f aca="false">VLOOKUP(A43,saisie!B$7:AL$26,5,0)</f>
        <v>#N/A</v>
      </c>
      <c r="F43" s="129" t="e">
        <f aca="false">VLOOKUP(A43,saisie!B$7:AL$26,6,0)</f>
        <v>#N/A</v>
      </c>
      <c r="G43" s="129" t="e">
        <f aca="false">VLOOKUP(A43,saisie!B$7:AL$26,7,0)</f>
        <v>#N/A</v>
      </c>
      <c r="H43" s="130" t="e">
        <f aca="false">VLOOKUP(A43,saisie!B$7:AL$26,8,0)</f>
        <v>#N/A</v>
      </c>
      <c r="I43" s="131" t="e">
        <f aca="false">VLOOKUP(A43,saisie!B$7:AL$26,9,0)</f>
        <v>#N/A</v>
      </c>
      <c r="J43" s="128" t="e">
        <f aca="false">VLOOKUP(A43,saisie!B$7:AL$26,10,0)</f>
        <v>#N/A</v>
      </c>
      <c r="K43" s="129" t="e">
        <f aca="false">VLOOKUP(A43,saisie!B$7:AL$26,11,0)</f>
        <v>#N/A</v>
      </c>
      <c r="L43" s="129" t="e">
        <f aca="false">VLOOKUP(A43,saisie!B$7:AL$26,12,0)</f>
        <v>#N/A</v>
      </c>
      <c r="M43" s="129" t="e">
        <f aca="false">VLOOKUP(A43,saisie!B$7:AL$26,13,0)</f>
        <v>#N/A</v>
      </c>
      <c r="N43" s="130" t="e">
        <f aca="false">VLOOKUP(A43,saisie!B$7:AL$26,14,0)</f>
        <v>#N/A</v>
      </c>
      <c r="O43" s="131" t="e">
        <f aca="false">VLOOKUP(A43,saisie!B$7:AL$26,15,0)</f>
        <v>#N/A</v>
      </c>
      <c r="P43" s="128" t="e">
        <f aca="false">VLOOKUP(A43,saisie!B$7:AL$26,16,0)</f>
        <v>#N/A</v>
      </c>
      <c r="Q43" s="129" t="e">
        <f aca="false">VLOOKUP(A43,saisie!B$7:AL$26,17,0)</f>
        <v>#N/A</v>
      </c>
      <c r="R43" s="129" t="e">
        <f aca="false">VLOOKUP(A43,saisie!B$7:AL$26,18,0)</f>
        <v>#N/A</v>
      </c>
      <c r="S43" s="129" t="e">
        <f aca="false">VLOOKUP(A43,saisie!B$7:AL$26,19,0)</f>
        <v>#N/A</v>
      </c>
      <c r="T43" s="130" t="e">
        <f aca="false">VLOOKUP(A43,saisie!B$7:AL$26,20,0)</f>
        <v>#N/A</v>
      </c>
      <c r="U43" s="131" t="e">
        <f aca="false">VLOOKUP(A43,saisie!B$7:AL$26,21,0)</f>
        <v>#N/A</v>
      </c>
      <c r="V43" s="128" t="e">
        <f aca="false">VLOOKUP(A43,saisie!B$7:AL$26,22,0)</f>
        <v>#N/A</v>
      </c>
      <c r="W43" s="129" t="e">
        <f aca="false">VLOOKUP(A43,saisie!B$7:AL$26,23,0)</f>
        <v>#N/A</v>
      </c>
      <c r="X43" s="129" t="e">
        <f aca="false">VLOOKUP(A43,saisie!B$7:AL$26,24,0)</f>
        <v>#N/A</v>
      </c>
      <c r="Y43" s="129" t="e">
        <f aca="false">VLOOKUP(A43,saisie!B$7:AL$26,25,0)</f>
        <v>#N/A</v>
      </c>
      <c r="Z43" s="130" t="e">
        <f aca="false">VLOOKUP(A43,saisie!B$7:AL$26,26,0)</f>
        <v>#N/A</v>
      </c>
      <c r="AA43" s="131" t="e">
        <f aca="false">VLOOKUP(A43,saisie!B$7:AL$26,27,0)</f>
        <v>#N/A</v>
      </c>
      <c r="AB43" s="128" t="e">
        <f aca="false">VLOOKUP(A43,saisie!B$7:AL$26,28,0)</f>
        <v>#N/A</v>
      </c>
      <c r="AC43" s="129" t="e">
        <f aca="false">VLOOKUP(A43,saisie!B$7:AL$26,29,0)</f>
        <v>#N/A</v>
      </c>
      <c r="AD43" s="129" t="e">
        <f aca="false">VLOOKUP(A43,saisie!B$7:AL$26,30,0)</f>
        <v>#N/A</v>
      </c>
      <c r="AE43" s="129" t="e">
        <f aca="false">VLOOKUP(A43,saisie!B$7:AL$26,31,0)</f>
        <v>#N/A</v>
      </c>
      <c r="AF43" s="130" t="e">
        <f aca="false">VLOOKUP(A43,saisie!B$7:AL$26,32,0)</f>
        <v>#N/A</v>
      </c>
      <c r="AG43" s="131" t="e">
        <f aca="false">VLOOKUP(A43,saisie!B$7:AL$26,33,0)</f>
        <v>#N/A</v>
      </c>
      <c r="AH43" s="136" t="e">
        <f aca="false">VLOOKUP(A43,saisie!B$7:AL$26,34,0)</f>
        <v>#N/A</v>
      </c>
      <c r="AI43" s="133" t="e">
        <f aca="false">VLOOKUP(A43,saisie!B$7:AL$26,35,0)</f>
        <v>#N/A</v>
      </c>
      <c r="AJ43" s="134"/>
    </row>
    <row r="44" s="107" customFormat="true" ht="109" hidden="false" customHeight="true" outlineLevel="0" collapsed="false">
      <c r="A44" s="135" t="str">
        <f aca="false">IF(INFO!B8&gt;37,38,"")</f>
        <v/>
      </c>
      <c r="B44" s="126" t="e">
        <f aca="false">VLOOKUP(A44,saisie!B$7:AL$26,2,0)</f>
        <v>#N/A</v>
      </c>
      <c r="C44" s="127" t="e">
        <f aca="false">VLOOKUP(A44,saisie!B$7:AL$26,3,0)</f>
        <v>#N/A</v>
      </c>
      <c r="D44" s="128" t="e">
        <f aca="false">VLOOKUP(A44,saisie!B$7:AL$26,4,0)</f>
        <v>#N/A</v>
      </c>
      <c r="E44" s="129" t="e">
        <f aca="false">VLOOKUP(A44,saisie!B$7:AL$26,5,0)</f>
        <v>#N/A</v>
      </c>
      <c r="F44" s="129" t="e">
        <f aca="false">VLOOKUP(A44,saisie!B$7:AL$26,6,0)</f>
        <v>#N/A</v>
      </c>
      <c r="G44" s="129" t="e">
        <f aca="false">VLOOKUP(A44,saisie!B$7:AL$26,7,0)</f>
        <v>#N/A</v>
      </c>
      <c r="H44" s="130" t="e">
        <f aca="false">VLOOKUP(A44,saisie!B$7:AL$26,8,0)</f>
        <v>#N/A</v>
      </c>
      <c r="I44" s="131" t="e">
        <f aca="false">VLOOKUP(A44,saisie!B$7:AL$26,9,0)</f>
        <v>#N/A</v>
      </c>
      <c r="J44" s="128" t="e">
        <f aca="false">VLOOKUP(A44,saisie!B$7:AL$26,10,0)</f>
        <v>#N/A</v>
      </c>
      <c r="K44" s="129" t="e">
        <f aca="false">VLOOKUP(A44,saisie!B$7:AL$26,11,0)</f>
        <v>#N/A</v>
      </c>
      <c r="L44" s="129" t="e">
        <f aca="false">VLOOKUP(A44,saisie!B$7:AL$26,12,0)</f>
        <v>#N/A</v>
      </c>
      <c r="M44" s="129" t="e">
        <f aca="false">VLOOKUP(A44,saisie!B$7:AL$26,13,0)</f>
        <v>#N/A</v>
      </c>
      <c r="N44" s="130" t="e">
        <f aca="false">VLOOKUP(A44,saisie!B$7:AL$26,14,0)</f>
        <v>#N/A</v>
      </c>
      <c r="O44" s="131" t="e">
        <f aca="false">VLOOKUP(A44,saisie!B$7:AL$26,15,0)</f>
        <v>#N/A</v>
      </c>
      <c r="P44" s="128" t="e">
        <f aca="false">VLOOKUP(A44,saisie!B$7:AL$26,16,0)</f>
        <v>#N/A</v>
      </c>
      <c r="Q44" s="129" t="e">
        <f aca="false">VLOOKUP(A44,saisie!B$7:AL$26,17,0)</f>
        <v>#N/A</v>
      </c>
      <c r="R44" s="129" t="e">
        <f aca="false">VLOOKUP(A44,saisie!B$7:AL$26,18,0)</f>
        <v>#N/A</v>
      </c>
      <c r="S44" s="129" t="e">
        <f aca="false">VLOOKUP(A44,saisie!B$7:AL$26,19,0)</f>
        <v>#N/A</v>
      </c>
      <c r="T44" s="130" t="e">
        <f aca="false">VLOOKUP(A44,saisie!B$7:AL$26,20,0)</f>
        <v>#N/A</v>
      </c>
      <c r="U44" s="131" t="e">
        <f aca="false">VLOOKUP(A44,saisie!B$7:AL$26,21,0)</f>
        <v>#N/A</v>
      </c>
      <c r="V44" s="128" t="e">
        <f aca="false">VLOOKUP(A44,saisie!B$7:AL$26,22,0)</f>
        <v>#N/A</v>
      </c>
      <c r="W44" s="129" t="e">
        <f aca="false">VLOOKUP(A44,saisie!B$7:AL$26,23,0)</f>
        <v>#N/A</v>
      </c>
      <c r="X44" s="129" t="e">
        <f aca="false">VLOOKUP(A44,saisie!B$7:AL$26,24,0)</f>
        <v>#N/A</v>
      </c>
      <c r="Y44" s="129" t="e">
        <f aca="false">VLOOKUP(A44,saisie!B$7:AL$26,25,0)</f>
        <v>#N/A</v>
      </c>
      <c r="Z44" s="130" t="e">
        <f aca="false">VLOOKUP(A44,saisie!B$7:AL$26,26,0)</f>
        <v>#N/A</v>
      </c>
      <c r="AA44" s="131" t="e">
        <f aca="false">VLOOKUP(A44,saisie!B$7:AL$26,27,0)</f>
        <v>#N/A</v>
      </c>
      <c r="AB44" s="128" t="e">
        <f aca="false">VLOOKUP(A44,saisie!B$7:AL$26,28,0)</f>
        <v>#N/A</v>
      </c>
      <c r="AC44" s="129" t="e">
        <f aca="false">VLOOKUP(A44,saisie!B$7:AL$26,29,0)</f>
        <v>#N/A</v>
      </c>
      <c r="AD44" s="129" t="e">
        <f aca="false">VLOOKUP(A44,saisie!B$7:AL$26,30,0)</f>
        <v>#N/A</v>
      </c>
      <c r="AE44" s="129" t="e">
        <f aca="false">VLOOKUP(A44,saisie!B$7:AL$26,31,0)</f>
        <v>#N/A</v>
      </c>
      <c r="AF44" s="130" t="e">
        <f aca="false">VLOOKUP(A44,saisie!B$7:AL$26,32,0)</f>
        <v>#N/A</v>
      </c>
      <c r="AG44" s="131" t="e">
        <f aca="false">VLOOKUP(A44,saisie!B$7:AL$26,33,0)</f>
        <v>#N/A</v>
      </c>
      <c r="AH44" s="136" t="e">
        <f aca="false">VLOOKUP(A44,saisie!B$7:AL$26,34,0)</f>
        <v>#N/A</v>
      </c>
      <c r="AI44" s="133" t="e">
        <f aca="false">VLOOKUP(A44,saisie!B$7:AL$26,35,0)</f>
        <v>#N/A</v>
      </c>
      <c r="AJ44" s="134"/>
    </row>
    <row r="45" s="107" customFormat="true" ht="109" hidden="false" customHeight="true" outlineLevel="0" collapsed="false">
      <c r="A45" s="135" t="str">
        <f aca="false">IF(INFO!B8&gt;38,39,"")</f>
        <v/>
      </c>
      <c r="B45" s="126" t="e">
        <f aca="false">VLOOKUP(A45,saisie!B$7:AL$26,2,0)</f>
        <v>#N/A</v>
      </c>
      <c r="C45" s="127" t="e">
        <f aca="false">VLOOKUP(A45,saisie!B$7:AL$26,3,0)</f>
        <v>#N/A</v>
      </c>
      <c r="D45" s="128" t="e">
        <f aca="false">VLOOKUP(A45,saisie!B$7:AL$26,4,0)</f>
        <v>#N/A</v>
      </c>
      <c r="E45" s="129" t="e">
        <f aca="false">VLOOKUP(A45,saisie!B$7:AL$26,5,0)</f>
        <v>#N/A</v>
      </c>
      <c r="F45" s="129" t="e">
        <f aca="false">VLOOKUP(A45,saisie!B$7:AL$26,6,0)</f>
        <v>#N/A</v>
      </c>
      <c r="G45" s="129" t="e">
        <f aca="false">VLOOKUP(A45,saisie!B$7:AL$26,7,0)</f>
        <v>#N/A</v>
      </c>
      <c r="H45" s="130" t="e">
        <f aca="false">VLOOKUP(A45,saisie!B$7:AL$26,8,0)</f>
        <v>#N/A</v>
      </c>
      <c r="I45" s="131" t="e">
        <f aca="false">VLOOKUP(A45,saisie!B$7:AL$26,9,0)</f>
        <v>#N/A</v>
      </c>
      <c r="J45" s="128" t="e">
        <f aca="false">VLOOKUP(A45,saisie!B$7:AL$26,10,0)</f>
        <v>#N/A</v>
      </c>
      <c r="K45" s="129" t="e">
        <f aca="false">VLOOKUP(A45,saisie!B$7:AL$26,11,0)</f>
        <v>#N/A</v>
      </c>
      <c r="L45" s="129" t="e">
        <f aca="false">VLOOKUP(A45,saisie!B$7:AL$26,12,0)</f>
        <v>#N/A</v>
      </c>
      <c r="M45" s="129" t="e">
        <f aca="false">VLOOKUP(A45,saisie!B$7:AL$26,13,0)</f>
        <v>#N/A</v>
      </c>
      <c r="N45" s="130" t="e">
        <f aca="false">VLOOKUP(A45,saisie!B$7:AL$26,14,0)</f>
        <v>#N/A</v>
      </c>
      <c r="O45" s="131" t="e">
        <f aca="false">VLOOKUP(A45,saisie!B$7:AL$26,15,0)</f>
        <v>#N/A</v>
      </c>
      <c r="P45" s="128" t="e">
        <f aca="false">VLOOKUP(A45,saisie!B$7:AL$26,16,0)</f>
        <v>#N/A</v>
      </c>
      <c r="Q45" s="129" t="e">
        <f aca="false">VLOOKUP(A45,saisie!B$7:AL$26,17,0)</f>
        <v>#N/A</v>
      </c>
      <c r="R45" s="129" t="e">
        <f aca="false">VLOOKUP(A45,saisie!B$7:AL$26,18,0)</f>
        <v>#N/A</v>
      </c>
      <c r="S45" s="129" t="e">
        <f aca="false">VLOOKUP(A45,saisie!B$7:AL$26,19,0)</f>
        <v>#N/A</v>
      </c>
      <c r="T45" s="130" t="e">
        <f aca="false">VLOOKUP(A45,saisie!B$7:AL$26,20,0)</f>
        <v>#N/A</v>
      </c>
      <c r="U45" s="131" t="e">
        <f aca="false">VLOOKUP(A45,saisie!B$7:AL$26,21,0)</f>
        <v>#N/A</v>
      </c>
      <c r="V45" s="128" t="e">
        <f aca="false">VLOOKUP(A45,saisie!B$7:AL$26,22,0)</f>
        <v>#N/A</v>
      </c>
      <c r="W45" s="129" t="e">
        <f aca="false">VLOOKUP(A45,saisie!B$7:AL$26,23,0)</f>
        <v>#N/A</v>
      </c>
      <c r="X45" s="129" t="e">
        <f aca="false">VLOOKUP(A45,saisie!B$7:AL$26,24,0)</f>
        <v>#N/A</v>
      </c>
      <c r="Y45" s="129" t="e">
        <f aca="false">VLOOKUP(A45,saisie!B$7:AL$26,25,0)</f>
        <v>#N/A</v>
      </c>
      <c r="Z45" s="130" t="e">
        <f aca="false">VLOOKUP(A45,saisie!B$7:AL$26,26,0)</f>
        <v>#N/A</v>
      </c>
      <c r="AA45" s="131" t="e">
        <f aca="false">VLOOKUP(A45,saisie!B$7:AL$26,27,0)</f>
        <v>#N/A</v>
      </c>
      <c r="AB45" s="128" t="e">
        <f aca="false">VLOOKUP(A45,saisie!B$7:AL$26,28,0)</f>
        <v>#N/A</v>
      </c>
      <c r="AC45" s="129" t="e">
        <f aca="false">VLOOKUP(A45,saisie!B$7:AL$26,29,0)</f>
        <v>#N/A</v>
      </c>
      <c r="AD45" s="129" t="e">
        <f aca="false">VLOOKUP(A45,saisie!B$7:AL$26,30,0)</f>
        <v>#N/A</v>
      </c>
      <c r="AE45" s="129" t="e">
        <f aca="false">VLOOKUP(A45,saisie!B$7:AL$26,31,0)</f>
        <v>#N/A</v>
      </c>
      <c r="AF45" s="130" t="e">
        <f aca="false">VLOOKUP(A45,saisie!B$7:AL$26,32,0)</f>
        <v>#N/A</v>
      </c>
      <c r="AG45" s="131" t="e">
        <f aca="false">VLOOKUP(A45,saisie!B$7:AL$26,33,0)</f>
        <v>#N/A</v>
      </c>
      <c r="AH45" s="136" t="e">
        <f aca="false">VLOOKUP(A45,saisie!B$7:AL$26,34,0)</f>
        <v>#N/A</v>
      </c>
      <c r="AI45" s="133" t="e">
        <f aca="false">VLOOKUP(A45,saisie!B$7:AL$26,35,0)</f>
        <v>#N/A</v>
      </c>
      <c r="AJ45" s="134"/>
    </row>
    <row r="46" s="107" customFormat="true" ht="109" hidden="false" customHeight="true" outlineLevel="0" collapsed="false">
      <c r="A46" s="137" t="str">
        <f aca="false">IF(INFO!B8&gt;39,40,"")</f>
        <v/>
      </c>
      <c r="B46" s="138" t="e">
        <f aca="false">VLOOKUP(A46,saisie!B$7:AL$26,2,0)</f>
        <v>#N/A</v>
      </c>
      <c r="C46" s="139" t="e">
        <f aca="false">VLOOKUP(A46,saisie!B$7:AL$26,3,0)</f>
        <v>#N/A</v>
      </c>
      <c r="D46" s="140" t="e">
        <f aca="false">VLOOKUP(A46,saisie!B$7:AL$26,4,0)</f>
        <v>#N/A</v>
      </c>
      <c r="E46" s="141" t="e">
        <f aca="false">VLOOKUP(A46,saisie!B$7:AL$26,5,0)</f>
        <v>#N/A</v>
      </c>
      <c r="F46" s="141" t="e">
        <f aca="false">VLOOKUP(A46,saisie!B$7:AL$26,6,0)</f>
        <v>#N/A</v>
      </c>
      <c r="G46" s="141" t="e">
        <f aca="false">VLOOKUP(A46,saisie!B$7:AL$26,7,0)</f>
        <v>#N/A</v>
      </c>
      <c r="H46" s="142" t="e">
        <f aca="false">VLOOKUP(A46,saisie!B$7:AL$26,8,0)</f>
        <v>#N/A</v>
      </c>
      <c r="I46" s="143" t="e">
        <f aca="false">VLOOKUP(A46,saisie!B$7:AL$26,9,0)</f>
        <v>#N/A</v>
      </c>
      <c r="J46" s="140" t="e">
        <f aca="false">VLOOKUP(A46,saisie!B$7:AL$26,10,0)</f>
        <v>#N/A</v>
      </c>
      <c r="K46" s="141" t="e">
        <f aca="false">VLOOKUP(A46,saisie!B$7:AL$26,11,0)</f>
        <v>#N/A</v>
      </c>
      <c r="L46" s="141" t="e">
        <f aca="false">VLOOKUP(A46,saisie!B$7:AL$26,12,0)</f>
        <v>#N/A</v>
      </c>
      <c r="M46" s="141" t="e">
        <f aca="false">VLOOKUP(A46,saisie!B$7:AL$26,13,0)</f>
        <v>#N/A</v>
      </c>
      <c r="N46" s="142" t="e">
        <f aca="false">VLOOKUP(A46,saisie!B$7:AL$26,14,0)</f>
        <v>#N/A</v>
      </c>
      <c r="O46" s="143" t="e">
        <f aca="false">VLOOKUP(A46,saisie!B$7:AL$26,15,0)</f>
        <v>#N/A</v>
      </c>
      <c r="P46" s="140" t="e">
        <f aca="false">VLOOKUP(A46,saisie!B$7:AL$26,16,0)</f>
        <v>#N/A</v>
      </c>
      <c r="Q46" s="141" t="e">
        <f aca="false">VLOOKUP(A46,saisie!B$7:AL$26,17,0)</f>
        <v>#N/A</v>
      </c>
      <c r="R46" s="141" t="e">
        <f aca="false">VLOOKUP(A46,saisie!B$7:AL$26,18,0)</f>
        <v>#N/A</v>
      </c>
      <c r="S46" s="141" t="e">
        <f aca="false">VLOOKUP(A46,saisie!B$7:AL$26,19,0)</f>
        <v>#N/A</v>
      </c>
      <c r="T46" s="142" t="e">
        <f aca="false">VLOOKUP(A46,saisie!B$7:AL$26,20,0)</f>
        <v>#N/A</v>
      </c>
      <c r="U46" s="143" t="e">
        <f aca="false">VLOOKUP(A46,saisie!B$7:AL$26,21,0)</f>
        <v>#N/A</v>
      </c>
      <c r="V46" s="140" t="e">
        <f aca="false">VLOOKUP(A46,saisie!B$7:AL$26,22,0)</f>
        <v>#N/A</v>
      </c>
      <c r="W46" s="141" t="e">
        <f aca="false">VLOOKUP(A46,saisie!B$7:AL$26,23,0)</f>
        <v>#N/A</v>
      </c>
      <c r="X46" s="141" t="e">
        <f aca="false">VLOOKUP(A46,saisie!B$7:AL$26,24,0)</f>
        <v>#N/A</v>
      </c>
      <c r="Y46" s="141" t="e">
        <f aca="false">VLOOKUP(A46,saisie!B$7:AL$26,25,0)</f>
        <v>#N/A</v>
      </c>
      <c r="Z46" s="142" t="e">
        <f aca="false">VLOOKUP(A46,saisie!B$7:AL$26,26,0)</f>
        <v>#N/A</v>
      </c>
      <c r="AA46" s="143" t="e">
        <f aca="false">VLOOKUP(A46,saisie!B$7:AL$26,27,0)</f>
        <v>#N/A</v>
      </c>
      <c r="AB46" s="140" t="e">
        <f aca="false">VLOOKUP(A46,saisie!B$7:AL$26,28,0)</f>
        <v>#N/A</v>
      </c>
      <c r="AC46" s="141" t="e">
        <f aca="false">VLOOKUP(A46,saisie!B$7:AL$26,29,0)</f>
        <v>#N/A</v>
      </c>
      <c r="AD46" s="141" t="e">
        <f aca="false">VLOOKUP(A46,saisie!B$7:AL$26,30,0)</f>
        <v>#N/A</v>
      </c>
      <c r="AE46" s="141" t="e">
        <f aca="false">VLOOKUP(A46,saisie!B$7:AL$26,31,0)</f>
        <v>#N/A</v>
      </c>
      <c r="AF46" s="142" t="e">
        <f aca="false">VLOOKUP(A46,saisie!B$7:AL$26,32,0)</f>
        <v>#N/A</v>
      </c>
      <c r="AG46" s="143" t="e">
        <f aca="false">VLOOKUP(A46,saisie!B$7:AL$26,33,0)</f>
        <v>#N/A</v>
      </c>
      <c r="AH46" s="144" t="e">
        <f aca="false">VLOOKUP(A46,saisie!B$7:AL$26,34,0)</f>
        <v>#N/A</v>
      </c>
      <c r="AI46" s="145" t="e">
        <f aca="false">VLOOKUP(A46,saisie!B$7:AL$26,35,0)</f>
        <v>#N/A</v>
      </c>
      <c r="AJ46" s="134"/>
    </row>
  </sheetData>
  <sheetProtection sheet="true" password="cf6d" scenarios="true" formatColumns="false" selectLockedCells="true"/>
  <mergeCells count="27">
    <mergeCell ref="A3:AI4"/>
    <mergeCell ref="A5:A6"/>
    <mergeCell ref="B5:B6"/>
    <mergeCell ref="C5:C6"/>
    <mergeCell ref="D5:D6"/>
    <mergeCell ref="E5:G6"/>
    <mergeCell ref="H5:H6"/>
    <mergeCell ref="I5:I6"/>
    <mergeCell ref="J5:J6"/>
    <mergeCell ref="K5:M6"/>
    <mergeCell ref="N5:N6"/>
    <mergeCell ref="O5:O6"/>
    <mergeCell ref="P5:P6"/>
    <mergeCell ref="Q5:S6"/>
    <mergeCell ref="T5:T6"/>
    <mergeCell ref="U5:U6"/>
    <mergeCell ref="V5:V6"/>
    <mergeCell ref="W5:Y6"/>
    <mergeCell ref="Z5:Z6"/>
    <mergeCell ref="AA5:AA6"/>
    <mergeCell ref="AB5:AB6"/>
    <mergeCell ref="AC5:AE6"/>
    <mergeCell ref="AF5:AF6"/>
    <mergeCell ref="AG5:AG6"/>
    <mergeCell ref="AH5:AH6"/>
    <mergeCell ref="AI5:AI6"/>
    <mergeCell ref="AJ5:AJ6"/>
  </mergeCells>
  <conditionalFormatting sqref="B7:AI13 B16:AI46 B15:AD15 AF15:AI15">
    <cfRule type="cellIs" priority="2" operator="equal" aboveAverage="0" equalAverage="0" bottom="0" percent="0" rank="0" text="" dxfId="0">
      <formula>0</formula>
    </cfRule>
    <cfRule type="containsErrors" priority="3" aboveAverage="0" equalAverage="0" bottom="0" percent="0" rank="0" text="" dxfId="1">
      <formula>ISERROR(B7)</formula>
    </cfRule>
  </conditionalFormatting>
  <conditionalFormatting sqref="A7:A13 A15:A45">
    <cfRule type="expression" priority="4" aboveAverage="0" equalAverage="0" bottom="0" percent="0" rank="0" text="" dxfId="2">
      <formula>LEN(TRIM(A7))=0</formula>
    </cfRule>
  </conditionalFormatting>
  <conditionalFormatting sqref="B14:AI14 AE15">
    <cfRule type="cellIs" priority="5" operator="equal" aboveAverage="0" equalAverage="0" bottom="0" percent="0" rank="0" text="" dxfId="3">
      <formula>0</formula>
    </cfRule>
    <cfRule type="containsErrors" priority="6" aboveAverage="0" equalAverage="0" bottom="0" percent="0" rank="0" text="" dxfId="4">
      <formula>ISERROR(B14)</formula>
    </cfRule>
  </conditionalFormatting>
  <conditionalFormatting sqref="A46">
    <cfRule type="expression" priority="7" aboveAverage="0" equalAverage="0" bottom="0" percent="0" rank="0" text="" dxfId="5">
      <formula>LEN(TRIM(A46))=0</formula>
    </cfRule>
  </conditionalFormatting>
  <conditionalFormatting sqref="A14">
    <cfRule type="expression" priority="8" aboveAverage="0" equalAverage="0" bottom="0" percent="0" rank="0" text="" dxfId="6">
      <formula>LEN(TRIM(A14))=0</formula>
    </cfRule>
  </conditionalFormatting>
  <printOptions headings="false" gridLines="false" gridLinesSet="true" horizontalCentered="true" verticalCentered="true"/>
  <pageMargins left="0" right="0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6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3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6" activeCellId="1" sqref="E12:E16 D36"/>
    </sheetView>
  </sheetViews>
  <sheetFormatPr defaultRowHeight="16" zeroHeight="false" outlineLevelRow="0" outlineLevelCol="0"/>
  <cols>
    <col collapsed="false" customWidth="true" hidden="false" outlineLevel="0" max="1" min="1" style="146" width="15.33"/>
    <col collapsed="false" customWidth="true" hidden="false" outlineLevel="0" max="2" min="2" style="146" width="25.67"/>
    <col collapsed="false" customWidth="true" hidden="false" outlineLevel="0" max="5" min="3" style="146" width="8.66"/>
    <col collapsed="false" customWidth="true" hidden="false" outlineLevel="0" max="7" min="6" style="146" width="8.5"/>
    <col collapsed="false" customWidth="true" hidden="false" outlineLevel="0" max="8" min="8" style="146" width="3.66"/>
    <col collapsed="false" customWidth="true" hidden="false" outlineLevel="0" max="9" min="9" style="146" width="15.33"/>
    <col collapsed="false" customWidth="true" hidden="false" outlineLevel="0" max="10" min="10" style="146" width="25.67"/>
    <col collapsed="false" customWidth="true" hidden="false" outlineLevel="0" max="13" min="11" style="146" width="8.66"/>
    <col collapsed="false" customWidth="true" hidden="false" outlineLevel="0" max="14" min="14" style="146" width="8.5"/>
    <col collapsed="false" customWidth="true" hidden="false" outlineLevel="0" max="15" min="15" style="146" width="5.66"/>
    <col collapsed="false" customWidth="true" hidden="false" outlineLevel="0" max="1025" min="16" style="146" width="6.83"/>
  </cols>
  <sheetData>
    <row r="1" customFormat="false" ht="22" hidden="false" customHeight="true" outlineLevel="0" collapsed="false">
      <c r="A1" s="147"/>
      <c r="B1" s="148" t="s">
        <v>103</v>
      </c>
      <c r="C1" s="147" t="str">
        <f aca="false">'M Q'!B7</f>
        <v>THAON</v>
      </c>
      <c r="D1" s="147"/>
      <c r="E1" s="147"/>
      <c r="F1" s="147" t="n">
        <f aca="false">'M Q'!AH7</f>
        <v>1331</v>
      </c>
      <c r="G1" s="147"/>
      <c r="H1" s="149"/>
      <c r="I1" s="150"/>
      <c r="J1" s="148" t="str">
        <f aca="false">IF(INFO!B8&gt;7,"CLUB N°8","")</f>
        <v>CLUB N°8</v>
      </c>
      <c r="K1" s="147" t="str">
        <f aca="false">'M Q'!B14</f>
        <v>RAMBERVILLERS</v>
      </c>
      <c r="L1" s="147"/>
      <c r="M1" s="147"/>
      <c r="N1" s="147" t="n">
        <f aca="false">'M Q'!AH14</f>
        <v>1212</v>
      </c>
      <c r="O1" s="148"/>
    </row>
    <row r="2" customFormat="false" ht="22" hidden="false" customHeight="true" outlineLevel="0" collapsed="false">
      <c r="A2" s="148"/>
      <c r="B2" s="148" t="s">
        <v>104</v>
      </c>
      <c r="C2" s="151" t="s">
        <v>105</v>
      </c>
      <c r="D2" s="151" t="s">
        <v>106</v>
      </c>
      <c r="E2" s="151" t="s">
        <v>107</v>
      </c>
      <c r="F2" s="148" t="s">
        <v>108</v>
      </c>
      <c r="G2" s="148"/>
      <c r="H2" s="149"/>
      <c r="I2" s="148"/>
      <c r="J2" s="148" t="s">
        <v>104</v>
      </c>
      <c r="K2" s="151" t="s">
        <v>105</v>
      </c>
      <c r="L2" s="151" t="s">
        <v>106</v>
      </c>
      <c r="M2" s="151" t="s">
        <v>107</v>
      </c>
      <c r="N2" s="148" t="s">
        <v>108</v>
      </c>
      <c r="O2" s="148"/>
    </row>
    <row r="3" customFormat="false" ht="22" hidden="false" customHeight="true" outlineLevel="0" collapsed="false">
      <c r="A3" s="152" t="n">
        <f aca="false">F3+0.0001*G3+0.0000001*E3+0.0000000001*D3</f>
        <v>270.0000087094</v>
      </c>
      <c r="B3" s="148" t="str">
        <f aca="false">'M Q'!D7</f>
        <v>TABOUREUX ANNE</v>
      </c>
      <c r="C3" s="147" t="n">
        <f aca="false">'M Q'!E7</f>
        <v>89</v>
      </c>
      <c r="D3" s="147" t="n">
        <f aca="false">'M Q'!F7</f>
        <v>94</v>
      </c>
      <c r="E3" s="147" t="n">
        <f aca="false">'M Q'!G7</f>
        <v>87</v>
      </c>
      <c r="F3" s="147" t="n">
        <f aca="false">'M Q'!H7</f>
        <v>270</v>
      </c>
      <c r="G3" s="147" t="n">
        <f aca="false">'M Q'!I7</f>
        <v>0</v>
      </c>
      <c r="H3" s="149"/>
      <c r="I3" s="152" t="n">
        <f aca="false">N3+0.0001*O3+0.0000001*M3+0.0000000001*L3</f>
        <v>228.0000078076</v>
      </c>
      <c r="J3" s="148" t="str">
        <f aca="false">'M Q'!D14</f>
        <v>LALLEMAND AUGUSTIN</v>
      </c>
      <c r="K3" s="148" t="n">
        <f aca="false">'M Q'!E14</f>
        <v>74</v>
      </c>
      <c r="L3" s="148" t="n">
        <f aca="false">'M Q'!F14</f>
        <v>76</v>
      </c>
      <c r="M3" s="148" t="n">
        <f aca="false">'M Q'!G14</f>
        <v>78</v>
      </c>
      <c r="N3" s="148" t="n">
        <f aca="false">'M Q'!H14</f>
        <v>228</v>
      </c>
      <c r="O3" s="148" t="n">
        <f aca="false">'M Q'!I14</f>
        <v>0</v>
      </c>
    </row>
    <row r="4" customFormat="false" ht="22" hidden="false" customHeight="true" outlineLevel="0" collapsed="false">
      <c r="A4" s="152" t="n">
        <f aca="false">F4+0.0001*G4+0.0000001*E4+0.0000000001*D4</f>
        <v>272.0000090091</v>
      </c>
      <c r="B4" s="148" t="str">
        <f aca="false">'M Q'!J7</f>
        <v>PARISSE ALEXANDRE</v>
      </c>
      <c r="C4" s="147" t="n">
        <f aca="false">'M Q'!K7</f>
        <v>91</v>
      </c>
      <c r="D4" s="147" t="n">
        <f aca="false">'M Q'!L7</f>
        <v>91</v>
      </c>
      <c r="E4" s="147" t="n">
        <f aca="false">'M Q'!M7</f>
        <v>90</v>
      </c>
      <c r="F4" s="147" t="n">
        <f aca="false">'M Q'!N7</f>
        <v>272</v>
      </c>
      <c r="G4" s="147" t="n">
        <f aca="false">'M Q'!O7</f>
        <v>0</v>
      </c>
      <c r="H4" s="149"/>
      <c r="I4" s="152" t="n">
        <f aca="false">N4+0.0001*O4+0.0000001*M4+0.0000000001*L4</f>
        <v>248.0000079088</v>
      </c>
      <c r="J4" s="148" t="str">
        <f aca="false">'M Q'!J14</f>
        <v>VAIREL LOUIS</v>
      </c>
      <c r="K4" s="148" t="n">
        <f aca="false">'M Q'!K14</f>
        <v>81</v>
      </c>
      <c r="L4" s="148" t="n">
        <f aca="false">'M Q'!L14</f>
        <v>88</v>
      </c>
      <c r="M4" s="148" t="n">
        <f aca="false">'M Q'!M14</f>
        <v>79</v>
      </c>
      <c r="N4" s="148" t="n">
        <f aca="false">'M Q'!N14</f>
        <v>248</v>
      </c>
      <c r="O4" s="148" t="n">
        <f aca="false">'M Q'!O14</f>
        <v>0</v>
      </c>
    </row>
    <row r="5" customFormat="false" ht="22" hidden="false" customHeight="true" outlineLevel="0" collapsed="false">
      <c r="A5" s="152" t="n">
        <f aca="false">F5+0.0001*G5+0.0000001*E5+0.0000000001*D5</f>
        <v>242.0000083079</v>
      </c>
      <c r="B5" s="148" t="str">
        <f aca="false">'M Q'!P7</f>
        <v>FRAYARD LAURENCE</v>
      </c>
      <c r="C5" s="147" t="n">
        <f aca="false">'M Q'!Q7</f>
        <v>80</v>
      </c>
      <c r="D5" s="147" t="n">
        <f aca="false">'M Q'!R7</f>
        <v>79</v>
      </c>
      <c r="E5" s="147" t="n">
        <f aca="false">'M Q'!S7</f>
        <v>83</v>
      </c>
      <c r="F5" s="147" t="n">
        <f aca="false">'M Q'!T7</f>
        <v>242</v>
      </c>
      <c r="G5" s="147" t="n">
        <f aca="false">'M Q'!U7</f>
        <v>0</v>
      </c>
      <c r="H5" s="149"/>
      <c r="I5" s="152" t="n">
        <f aca="false">N5+0.0001*O5+0.0000001*M5+0.0000000001*L5</f>
        <v>264.000009108</v>
      </c>
      <c r="J5" s="148" t="str">
        <f aca="false">'M Q'!P14</f>
        <v>VIMEUX JORDAN</v>
      </c>
      <c r="K5" s="148" t="n">
        <f aca="false">'M Q'!Q14</f>
        <v>93</v>
      </c>
      <c r="L5" s="148" t="n">
        <f aca="false">'M Q'!R14</f>
        <v>80</v>
      </c>
      <c r="M5" s="148" t="n">
        <f aca="false">'M Q'!S14</f>
        <v>91</v>
      </c>
      <c r="N5" s="148" t="n">
        <f aca="false">'M Q'!T14</f>
        <v>264</v>
      </c>
      <c r="O5" s="148" t="n">
        <f aca="false">'M Q'!U14</f>
        <v>0</v>
      </c>
    </row>
    <row r="6" customFormat="false" ht="22" hidden="false" customHeight="true" outlineLevel="0" collapsed="false">
      <c r="A6" s="152" t="n">
        <f aca="false">F6+0.0001*G6+0.0000001*E6+0.0000000001*D6</f>
        <v>274.0000090095</v>
      </c>
      <c r="B6" s="148" t="str">
        <f aca="false">'M Q'!V7</f>
        <v>TABOUREUX ADRIEN</v>
      </c>
      <c r="C6" s="147" t="n">
        <f aca="false">'M Q'!W7</f>
        <v>89</v>
      </c>
      <c r="D6" s="147" t="n">
        <f aca="false">'M Q'!X7</f>
        <v>95</v>
      </c>
      <c r="E6" s="147" t="n">
        <f aca="false">'M Q'!Y7</f>
        <v>90</v>
      </c>
      <c r="F6" s="147" t="n">
        <f aca="false">'M Q'!Z7</f>
        <v>274</v>
      </c>
      <c r="G6" s="147" t="n">
        <f aca="false">'M Q'!AA7</f>
        <v>0</v>
      </c>
      <c r="H6" s="149"/>
      <c r="I6" s="152" t="n">
        <f aca="false">N6+0.0001*O6+0.0000001*M6+0.0000000001*L6</f>
        <v>226.0000087064</v>
      </c>
      <c r="J6" s="148" t="str">
        <f aca="false">'M Q'!V14</f>
        <v>AUBRY GERALD</v>
      </c>
      <c r="K6" s="148" t="n">
        <f aca="false">'M Q'!W14</f>
        <v>75</v>
      </c>
      <c r="L6" s="148" t="n">
        <f aca="false">'M Q'!X14</f>
        <v>64</v>
      </c>
      <c r="M6" s="148" t="n">
        <f aca="false">'M Q'!Y14</f>
        <v>87</v>
      </c>
      <c r="N6" s="148" t="n">
        <f aca="false">'M Q'!Z14</f>
        <v>226</v>
      </c>
      <c r="O6" s="148" t="n">
        <f aca="false">'M Q'!AA14</f>
        <v>0</v>
      </c>
    </row>
    <row r="7" customFormat="false" ht="22" hidden="false" customHeight="true" outlineLevel="0" collapsed="false">
      <c r="A7" s="152" t="n">
        <f aca="false">F7+0.0001*G7+0.0000001*E7+0.0000000001*D7</f>
        <v>273.000009109</v>
      </c>
      <c r="B7" s="148" t="str">
        <f aca="false">'M Q'!AB7</f>
        <v>TABOUREUX CHRISTOPHE</v>
      </c>
      <c r="C7" s="147" t="n">
        <f aca="false">'M Q'!AC7</f>
        <v>92</v>
      </c>
      <c r="D7" s="147" t="n">
        <f aca="false">'M Q'!AD7</f>
        <v>90</v>
      </c>
      <c r="E7" s="147" t="n">
        <f aca="false">'M Q'!AE7</f>
        <v>91</v>
      </c>
      <c r="F7" s="147" t="n">
        <f aca="false">'M Q'!AF7</f>
        <v>273</v>
      </c>
      <c r="G7" s="147" t="n">
        <f aca="false">'M Q'!AG7</f>
        <v>0</v>
      </c>
      <c r="H7" s="149"/>
      <c r="I7" s="152" t="n">
        <f aca="false">N7+0.0001*O7+0.0000001*M7+0.0000000001*L7</f>
        <v>246.000008008</v>
      </c>
      <c r="J7" s="148" t="str">
        <f aca="false">'M Q'!AB14</f>
        <v>POIROT JEAN-MARIE</v>
      </c>
      <c r="K7" s="148" t="n">
        <f aca="false">'M Q'!AC14</f>
        <v>86</v>
      </c>
      <c r="L7" s="148" t="n">
        <f aca="false">'M Q'!AD14</f>
        <v>80</v>
      </c>
      <c r="M7" s="148" t="n">
        <f aca="false">'M Q'!AE14</f>
        <v>80</v>
      </c>
      <c r="N7" s="148" t="n">
        <f aca="false">'M Q'!AF14</f>
        <v>246</v>
      </c>
      <c r="O7" s="148" t="n">
        <f aca="false">'M Q'!AG14</f>
        <v>0</v>
      </c>
    </row>
    <row r="8" customFormat="false" ht="22" hidden="false" customHeight="true" outlineLevel="0" collapsed="false">
      <c r="A8" s="153"/>
      <c r="B8" s="149"/>
      <c r="C8" s="149"/>
      <c r="D8" s="149"/>
      <c r="E8" s="149"/>
      <c r="F8" s="149"/>
      <c r="G8" s="149"/>
      <c r="H8" s="149"/>
      <c r="I8" s="153"/>
      <c r="J8" s="149"/>
      <c r="K8" s="149"/>
      <c r="L8" s="149"/>
      <c r="M8" s="149"/>
      <c r="N8" s="149"/>
      <c r="O8" s="149"/>
    </row>
    <row r="9" customFormat="false" ht="22" hidden="false" customHeight="true" outlineLevel="0" collapsed="false">
      <c r="A9" s="147"/>
      <c r="B9" s="148" t="s">
        <v>109</v>
      </c>
      <c r="C9" s="148" t="str">
        <f aca="false">'M Q'!B8</f>
        <v>MOYENMOUTIER</v>
      </c>
      <c r="D9" s="148"/>
      <c r="E9" s="148"/>
      <c r="F9" s="147" t="n">
        <f aca="false">'M Q'!AH8</f>
        <v>1312</v>
      </c>
      <c r="G9" s="147"/>
      <c r="H9" s="149"/>
      <c r="I9" s="147"/>
      <c r="J9" s="148" t="str">
        <f aca="false">IF(INFO!B8&gt;6,"CLUB N°7","")</f>
        <v>CLUB N°7</v>
      </c>
      <c r="K9" s="148" t="str">
        <f aca="false">'M Q'!B13</f>
        <v>VINCEY</v>
      </c>
      <c r="L9" s="148"/>
      <c r="M9" s="148"/>
      <c r="N9" s="147" t="n">
        <f aca="false">'M Q'!AH13</f>
        <v>1245</v>
      </c>
      <c r="O9" s="148"/>
    </row>
    <row r="10" customFormat="false" ht="22" hidden="false" customHeight="true" outlineLevel="0" collapsed="false">
      <c r="A10" s="148"/>
      <c r="B10" s="148" t="s">
        <v>104</v>
      </c>
      <c r="C10" s="151" t="s">
        <v>105</v>
      </c>
      <c r="D10" s="151" t="s">
        <v>106</v>
      </c>
      <c r="E10" s="151" t="s">
        <v>107</v>
      </c>
      <c r="F10" s="148" t="s">
        <v>108</v>
      </c>
      <c r="G10" s="148"/>
      <c r="H10" s="149"/>
      <c r="I10" s="148"/>
      <c r="J10" s="148" t="s">
        <v>104</v>
      </c>
      <c r="K10" s="151" t="s">
        <v>105</v>
      </c>
      <c r="L10" s="151" t="s">
        <v>106</v>
      </c>
      <c r="M10" s="151" t="s">
        <v>107</v>
      </c>
      <c r="N10" s="148" t="s">
        <v>108</v>
      </c>
      <c r="O10" s="148"/>
    </row>
    <row r="11" customFormat="false" ht="22" hidden="false" customHeight="true" outlineLevel="0" collapsed="false">
      <c r="A11" s="152" t="n">
        <f aca="false">F11+0.0001*G11+0.0000001*E11+0.0000000001*D11</f>
        <v>251.0000081085</v>
      </c>
      <c r="B11" s="148" t="str">
        <f aca="false">'M Q'!D8</f>
        <v>TACHET JEAN-MICHEL</v>
      </c>
      <c r="C11" s="147" t="n">
        <f aca="false">'M Q'!E8</f>
        <v>85</v>
      </c>
      <c r="D11" s="147" t="n">
        <f aca="false">'M Q'!F8</f>
        <v>85</v>
      </c>
      <c r="E11" s="147" t="n">
        <f aca="false">'M Q'!G8</f>
        <v>81</v>
      </c>
      <c r="F11" s="147" t="n">
        <f aca="false">'M Q'!H8</f>
        <v>251</v>
      </c>
      <c r="G11" s="147" t="n">
        <f aca="false">'M Q'!I8</f>
        <v>0</v>
      </c>
      <c r="H11" s="149"/>
      <c r="I11" s="152" t="n">
        <f aca="false">N11+0.0001*O11+0.0000001*M11+0.0000000001*L11</f>
        <v>256.0000090081</v>
      </c>
      <c r="J11" s="148" t="str">
        <f aca="false">'M Q'!D13</f>
        <v>BERBAGUI LINE</v>
      </c>
      <c r="K11" s="148" t="n">
        <f aca="false">'M Q'!E13</f>
        <v>85</v>
      </c>
      <c r="L11" s="148" t="n">
        <f aca="false">'M Q'!F13</f>
        <v>81</v>
      </c>
      <c r="M11" s="148" t="n">
        <f aca="false">'M Q'!G13</f>
        <v>90</v>
      </c>
      <c r="N11" s="148" t="n">
        <f aca="false">'M Q'!H13</f>
        <v>256</v>
      </c>
      <c r="O11" s="148" t="n">
        <f aca="false">'M Q'!I13</f>
        <v>0</v>
      </c>
    </row>
    <row r="12" customFormat="false" ht="22" hidden="false" customHeight="true" outlineLevel="0" collapsed="false">
      <c r="A12" s="152" t="n">
        <f aca="false">F12+0.0001*G12+0.0000001*E12+0.0000000001*D12</f>
        <v>263.0000086086</v>
      </c>
      <c r="B12" s="148" t="str">
        <f aca="false">'M Q'!J8</f>
        <v>GILLOT PIERRE</v>
      </c>
      <c r="C12" s="147" t="n">
        <f aca="false">'M Q'!K8</f>
        <v>91</v>
      </c>
      <c r="D12" s="147" t="n">
        <f aca="false">'M Q'!L8</f>
        <v>86</v>
      </c>
      <c r="E12" s="147" t="n">
        <f aca="false">'M Q'!M8</f>
        <v>86</v>
      </c>
      <c r="F12" s="147" t="n">
        <f aca="false">'M Q'!N8</f>
        <v>263</v>
      </c>
      <c r="G12" s="147" t="n">
        <f aca="false">'M Q'!O8</f>
        <v>0</v>
      </c>
      <c r="H12" s="149"/>
      <c r="I12" s="152" t="n">
        <f aca="false">N12+0.0001*O12+0.0000001*M12+0.0000000001*L12</f>
        <v>239.0000083076</v>
      </c>
      <c r="J12" s="148" t="str">
        <f aca="false">'M Q'!J13</f>
        <v>FEY THEO</v>
      </c>
      <c r="K12" s="148" t="n">
        <f aca="false">'M Q'!K13</f>
        <v>80</v>
      </c>
      <c r="L12" s="148" t="n">
        <f aca="false">'M Q'!L13</f>
        <v>76</v>
      </c>
      <c r="M12" s="148" t="n">
        <f aca="false">'M Q'!M13</f>
        <v>83</v>
      </c>
      <c r="N12" s="148" t="n">
        <f aca="false">'M Q'!N13</f>
        <v>239</v>
      </c>
      <c r="O12" s="148" t="n">
        <f aca="false">'M Q'!O13</f>
        <v>0</v>
      </c>
    </row>
    <row r="13" customFormat="false" ht="22" hidden="false" customHeight="true" outlineLevel="0" collapsed="false">
      <c r="A13" s="152" t="n">
        <f aca="false">F13+0.0001*G13+0.0000001*E13+0.0000000001*D13</f>
        <v>252.0000082082</v>
      </c>
      <c r="B13" s="148" t="str">
        <f aca="false">'M Q'!P8</f>
        <v>CHAMBRY JUSTINE</v>
      </c>
      <c r="C13" s="147" t="n">
        <f aca="false">'M Q'!Q8</f>
        <v>88</v>
      </c>
      <c r="D13" s="147" t="n">
        <f aca="false">'M Q'!R8</f>
        <v>82</v>
      </c>
      <c r="E13" s="147" t="n">
        <f aca="false">'M Q'!S8</f>
        <v>82</v>
      </c>
      <c r="F13" s="147" t="n">
        <f aca="false">'M Q'!T8</f>
        <v>252</v>
      </c>
      <c r="G13" s="147" t="n">
        <f aca="false">'M Q'!U8</f>
        <v>0</v>
      </c>
      <c r="H13" s="149"/>
      <c r="I13" s="152" t="n">
        <f aca="false">N13+0.0001*O13+0.0000001*M13+0.0000000001*L13</f>
        <v>236.0000086074</v>
      </c>
      <c r="J13" s="148" t="str">
        <f aca="false">'M Q'!P13</f>
        <v>GRANDJEAN CYRILLE</v>
      </c>
      <c r="K13" s="148" t="n">
        <f aca="false">'M Q'!Q13</f>
        <v>76</v>
      </c>
      <c r="L13" s="148" t="n">
        <f aca="false">'M Q'!R13</f>
        <v>74</v>
      </c>
      <c r="M13" s="148" t="n">
        <f aca="false">'M Q'!S13</f>
        <v>86</v>
      </c>
      <c r="N13" s="148" t="n">
        <f aca="false">'M Q'!T13</f>
        <v>236</v>
      </c>
      <c r="O13" s="148" t="n">
        <f aca="false">'M Q'!U13</f>
        <v>0</v>
      </c>
    </row>
    <row r="14" customFormat="false" ht="22" hidden="false" customHeight="true" outlineLevel="0" collapsed="false">
      <c r="A14" s="152" t="n">
        <f aca="false">F14+0.0001*G14+0.0000001*E14+0.0000000001*D14</f>
        <v>276.0000094092</v>
      </c>
      <c r="B14" s="148" t="str">
        <f aca="false">'M Q'!V8</f>
        <v>GRIVEL CHRISTOPHE</v>
      </c>
      <c r="C14" s="147" t="n">
        <f aca="false">'M Q'!W8</f>
        <v>90</v>
      </c>
      <c r="D14" s="147" t="n">
        <f aca="false">'M Q'!X8</f>
        <v>92</v>
      </c>
      <c r="E14" s="147" t="n">
        <f aca="false">'M Q'!Y8</f>
        <v>94</v>
      </c>
      <c r="F14" s="147" t="n">
        <f aca="false">'M Q'!Z8</f>
        <v>276</v>
      </c>
      <c r="G14" s="147" t="n">
        <f aca="false">'M Q'!AA8</f>
        <v>0</v>
      </c>
      <c r="H14" s="149"/>
      <c r="I14" s="152" t="n">
        <f aca="false">N14+0.0001*O14+0.0000001*M14+0.0000000001*L14</f>
        <v>259.0000080086</v>
      </c>
      <c r="J14" s="148" t="str">
        <f aca="false">'M Q'!V13</f>
        <v>MARCHAL EMMA</v>
      </c>
      <c r="K14" s="148" t="n">
        <f aca="false">'M Q'!W13</f>
        <v>93</v>
      </c>
      <c r="L14" s="148" t="n">
        <f aca="false">'M Q'!X13</f>
        <v>86</v>
      </c>
      <c r="M14" s="148" t="n">
        <f aca="false">'M Q'!Y13</f>
        <v>80</v>
      </c>
      <c r="N14" s="148" t="n">
        <f aca="false">'M Q'!Z13</f>
        <v>259</v>
      </c>
      <c r="O14" s="148" t="n">
        <f aca="false">'M Q'!AA13</f>
        <v>0</v>
      </c>
    </row>
    <row r="15" customFormat="false" ht="22" hidden="false" customHeight="true" outlineLevel="0" collapsed="false">
      <c r="A15" s="152" t="n">
        <f aca="false">F15+0.0001*G15+0.0000001*E15+0.0000000001*D15</f>
        <v>270.0000088092</v>
      </c>
      <c r="B15" s="148" t="str">
        <f aca="false">'M Q'!AB8</f>
        <v>COLIN MICHEL</v>
      </c>
      <c r="C15" s="147" t="n">
        <f aca="false">'M Q'!AC8</f>
        <v>90</v>
      </c>
      <c r="D15" s="147" t="n">
        <f aca="false">'M Q'!AD8</f>
        <v>92</v>
      </c>
      <c r="E15" s="147" t="n">
        <f aca="false">'M Q'!AE8</f>
        <v>88</v>
      </c>
      <c r="F15" s="147" t="n">
        <f aca="false">'M Q'!AF8</f>
        <v>270</v>
      </c>
      <c r="G15" s="147" t="n">
        <f aca="false">'M Q'!AG8</f>
        <v>0</v>
      </c>
      <c r="H15" s="149"/>
      <c r="I15" s="152" t="n">
        <f aca="false">N15+0.0001*O15+0.0000001*M15+0.0000000001*L15</f>
        <v>255.0000086088</v>
      </c>
      <c r="J15" s="148" t="str">
        <f aca="false">'M Q'!AB13</f>
        <v>MARCHAL CLEMENT</v>
      </c>
      <c r="K15" s="148" t="n">
        <f aca="false">'M Q'!AC13</f>
        <v>81</v>
      </c>
      <c r="L15" s="148" t="n">
        <f aca="false">'M Q'!AD13</f>
        <v>88</v>
      </c>
      <c r="M15" s="148" t="n">
        <f aca="false">'M Q'!AE13</f>
        <v>86</v>
      </c>
      <c r="N15" s="148" t="n">
        <f aca="false">'M Q'!AF13</f>
        <v>255</v>
      </c>
      <c r="O15" s="148" t="n">
        <f aca="false">'M Q'!AG13</f>
        <v>0</v>
      </c>
    </row>
    <row r="16" customFormat="false" ht="22" hidden="false" customHeight="true" outlineLevel="0" collapsed="false">
      <c r="A16" s="153"/>
      <c r="B16" s="149"/>
      <c r="C16" s="149"/>
      <c r="D16" s="149"/>
      <c r="E16" s="149"/>
      <c r="F16" s="149"/>
      <c r="G16" s="149"/>
      <c r="H16" s="149"/>
      <c r="I16" s="153"/>
      <c r="J16" s="149"/>
      <c r="K16" s="149"/>
      <c r="L16" s="149"/>
      <c r="M16" s="149"/>
      <c r="N16" s="149"/>
      <c r="O16" s="149"/>
    </row>
    <row r="17" customFormat="false" ht="22" hidden="false" customHeight="true" outlineLevel="0" collapsed="false">
      <c r="A17" s="147"/>
      <c r="B17" s="148" t="str">
        <f aca="false">IF(INFO!B8&gt;2,"CLUB N°3","")</f>
        <v>CLUB N°3</v>
      </c>
      <c r="C17" s="148" t="str">
        <f aca="false">'M Q'!B9</f>
        <v>REMIREMONT</v>
      </c>
      <c r="D17" s="148"/>
      <c r="E17" s="148"/>
      <c r="F17" s="147" t="n">
        <f aca="false">'M Q'!AH9</f>
        <v>1303</v>
      </c>
      <c r="G17" s="147"/>
      <c r="H17" s="149"/>
      <c r="I17" s="147"/>
      <c r="J17" s="148" t="str">
        <f aca="false">IF(INFO!B8&gt;5,"CLUB N°6","")</f>
        <v>CLUB N°6</v>
      </c>
      <c r="K17" s="148" t="str">
        <f aca="false">'M Q'!B12</f>
        <v>EPINAL</v>
      </c>
      <c r="L17" s="148"/>
      <c r="M17" s="148"/>
      <c r="N17" s="147" t="n">
        <f aca="false">'M Q'!AH12</f>
        <v>1279</v>
      </c>
      <c r="O17" s="148"/>
    </row>
    <row r="18" customFormat="false" ht="22" hidden="false" customHeight="true" outlineLevel="0" collapsed="false">
      <c r="A18" s="148"/>
      <c r="B18" s="148" t="s">
        <v>104</v>
      </c>
      <c r="C18" s="151" t="s">
        <v>105</v>
      </c>
      <c r="D18" s="151" t="s">
        <v>106</v>
      </c>
      <c r="E18" s="151" t="s">
        <v>107</v>
      </c>
      <c r="F18" s="148" t="s">
        <v>108</v>
      </c>
      <c r="G18" s="148"/>
      <c r="H18" s="149"/>
      <c r="I18" s="148"/>
      <c r="J18" s="148" t="s">
        <v>104</v>
      </c>
      <c r="K18" s="151" t="s">
        <v>105</v>
      </c>
      <c r="L18" s="151" t="s">
        <v>106</v>
      </c>
      <c r="M18" s="151" t="s">
        <v>107</v>
      </c>
      <c r="N18" s="148" t="s">
        <v>108</v>
      </c>
      <c r="O18" s="148"/>
    </row>
    <row r="19" customFormat="false" ht="22" hidden="false" customHeight="true" outlineLevel="0" collapsed="false">
      <c r="A19" s="154" t="n">
        <f aca="false">F19+0.0001*G19+0.0000001*E19+0.0000000001*D19</f>
        <v>250.0000085079</v>
      </c>
      <c r="B19" s="148" t="str">
        <f aca="false">'M Q'!D9</f>
        <v>DEMANGE ISABELLE</v>
      </c>
      <c r="C19" s="147" t="n">
        <f aca="false">'M Q'!E9</f>
        <v>86</v>
      </c>
      <c r="D19" s="147" t="n">
        <f aca="false">'M Q'!F9</f>
        <v>79</v>
      </c>
      <c r="E19" s="147" t="n">
        <f aca="false">'M Q'!G9</f>
        <v>85</v>
      </c>
      <c r="F19" s="147" t="n">
        <f aca="false">'M Q'!H9</f>
        <v>250</v>
      </c>
      <c r="G19" s="147" t="n">
        <f aca="false">'M Q'!I9</f>
        <v>0</v>
      </c>
      <c r="H19" s="149"/>
      <c r="I19" s="152" t="n">
        <f aca="false">N19+0.0001*O19+0.0000001*M19+0.0000000001*L19</f>
        <v>258.0000086088</v>
      </c>
      <c r="J19" s="148" t="str">
        <f aca="false">'M Q'!D12</f>
        <v>GONELLY GAETAN</v>
      </c>
      <c r="K19" s="148" t="n">
        <f aca="false">'M Q'!E12</f>
        <v>84</v>
      </c>
      <c r="L19" s="148" t="n">
        <f aca="false">'M Q'!F12</f>
        <v>88</v>
      </c>
      <c r="M19" s="148" t="n">
        <f aca="false">'M Q'!G12</f>
        <v>86</v>
      </c>
      <c r="N19" s="148" t="n">
        <f aca="false">'M Q'!H12</f>
        <v>258</v>
      </c>
      <c r="O19" s="148" t="n">
        <f aca="false">'M Q'!I12</f>
        <v>0</v>
      </c>
    </row>
    <row r="20" customFormat="false" ht="22" hidden="false" customHeight="true" outlineLevel="0" collapsed="false">
      <c r="A20" s="154" t="n">
        <f aca="false">F20+0.0001*G20+0.0000001*E20+0.0000000001*D20</f>
        <v>273.0000092086</v>
      </c>
      <c r="B20" s="148" t="str">
        <f aca="false">'M Q'!J9</f>
        <v>DELANGLE CYRILLE</v>
      </c>
      <c r="C20" s="147" t="n">
        <f aca="false">'M Q'!K9</f>
        <v>95</v>
      </c>
      <c r="D20" s="147" t="n">
        <f aca="false">'M Q'!L9</f>
        <v>86</v>
      </c>
      <c r="E20" s="147" t="n">
        <f aca="false">'M Q'!M9</f>
        <v>92</v>
      </c>
      <c r="F20" s="147" t="n">
        <f aca="false">'M Q'!N9</f>
        <v>273</v>
      </c>
      <c r="G20" s="147" t="n">
        <f aca="false">'M Q'!O9</f>
        <v>0</v>
      </c>
      <c r="H20" s="149"/>
      <c r="I20" s="152" t="n">
        <f aca="false">N20+0.0001*O20+0.0000001*M20+0.0000000001*L20</f>
        <v>262.0000091088</v>
      </c>
      <c r="J20" s="148" t="str">
        <f aca="false">'M Q'!J12</f>
        <v>BRIQUE ZACCHARY</v>
      </c>
      <c r="K20" s="148" t="n">
        <f aca="false">'M Q'!K12</f>
        <v>83</v>
      </c>
      <c r="L20" s="148" t="n">
        <f aca="false">'M Q'!L12</f>
        <v>88</v>
      </c>
      <c r="M20" s="148" t="n">
        <f aca="false">'M Q'!M12</f>
        <v>91</v>
      </c>
      <c r="N20" s="148" t="n">
        <f aca="false">'M Q'!N12</f>
        <v>262</v>
      </c>
      <c r="O20" s="148" t="n">
        <f aca="false">'M Q'!O12</f>
        <v>0</v>
      </c>
    </row>
    <row r="21" customFormat="false" ht="22" hidden="false" customHeight="true" outlineLevel="0" collapsed="false">
      <c r="A21" s="154" t="n">
        <f aca="false">F21+0.0001*G21+0.0000001*E21+0.0000000001*D21</f>
        <v>236.0000081075</v>
      </c>
      <c r="B21" s="148" t="str">
        <f aca="false">'M Q'!P9</f>
        <v>COLIN CYRIL</v>
      </c>
      <c r="C21" s="147" t="n">
        <f aca="false">'M Q'!Q9</f>
        <v>80</v>
      </c>
      <c r="D21" s="147" t="n">
        <f aca="false">'M Q'!R9</f>
        <v>75</v>
      </c>
      <c r="E21" s="147" t="n">
        <f aca="false">'M Q'!S9</f>
        <v>81</v>
      </c>
      <c r="F21" s="147" t="n">
        <f aca="false">'M Q'!T9</f>
        <v>236</v>
      </c>
      <c r="G21" s="147" t="n">
        <f aca="false">'M Q'!U9</f>
        <v>0</v>
      </c>
      <c r="H21" s="149"/>
      <c r="I21" s="152" t="n">
        <f aca="false">N21+0.0001*O21+0.0000001*M21+0.0000000001*L21</f>
        <v>249.0000089077</v>
      </c>
      <c r="J21" s="148" t="str">
        <f aca="false">'M Q'!P12</f>
        <v>SIMONETTI FLORENT</v>
      </c>
      <c r="K21" s="148" t="n">
        <f aca="false">'M Q'!Q12</f>
        <v>83</v>
      </c>
      <c r="L21" s="148" t="n">
        <f aca="false">'M Q'!R12</f>
        <v>77</v>
      </c>
      <c r="M21" s="148" t="n">
        <f aca="false">'M Q'!S12</f>
        <v>89</v>
      </c>
      <c r="N21" s="148" t="n">
        <f aca="false">'M Q'!T12</f>
        <v>249</v>
      </c>
      <c r="O21" s="148" t="n">
        <f aca="false">'M Q'!U12</f>
        <v>0</v>
      </c>
    </row>
    <row r="22" customFormat="false" ht="22" hidden="false" customHeight="true" outlineLevel="0" collapsed="false">
      <c r="A22" s="154" t="n">
        <f aca="false">F22+0.0001*G22+0.0000001*E22+0.0000000001*D22</f>
        <v>277.0000093095</v>
      </c>
      <c r="B22" s="148" t="str">
        <f aca="false">'M Q'!V9</f>
        <v>BERTRAND GEO</v>
      </c>
      <c r="C22" s="147" t="n">
        <f aca="false">'M Q'!W9</f>
        <v>89</v>
      </c>
      <c r="D22" s="147" t="n">
        <f aca="false">'M Q'!X9</f>
        <v>95</v>
      </c>
      <c r="E22" s="147" t="n">
        <f aca="false">'M Q'!Y9</f>
        <v>93</v>
      </c>
      <c r="F22" s="147" t="n">
        <f aca="false">'M Q'!Z9</f>
        <v>277</v>
      </c>
      <c r="G22" s="147" t="n">
        <f aca="false">'M Q'!AA9</f>
        <v>0</v>
      </c>
      <c r="H22" s="149"/>
      <c r="I22" s="152" t="n">
        <f aca="false">N22+0.0001*O22+0.0000001*M22+0.0000000001*L22</f>
        <v>255.0000081089</v>
      </c>
      <c r="J22" s="148" t="str">
        <f aca="false">'M Q'!V12</f>
        <v>FOLLIOT JEROME</v>
      </c>
      <c r="K22" s="148" t="n">
        <f aca="false">'M Q'!W12</f>
        <v>85</v>
      </c>
      <c r="L22" s="148" t="n">
        <f aca="false">'M Q'!X12</f>
        <v>89</v>
      </c>
      <c r="M22" s="148" t="n">
        <f aca="false">'M Q'!Y12</f>
        <v>81</v>
      </c>
      <c r="N22" s="148" t="n">
        <f aca="false">'M Q'!Z12</f>
        <v>255</v>
      </c>
      <c r="O22" s="148" t="n">
        <f aca="false">'M Q'!AA12</f>
        <v>0</v>
      </c>
    </row>
    <row r="23" customFormat="false" ht="22" hidden="false" customHeight="true" outlineLevel="0" collapsed="false">
      <c r="A23" s="154" t="n">
        <f aca="false">F23+0.0001*G23+0.0000001*E23+0.0000000001*D23</f>
        <v>267.000008609</v>
      </c>
      <c r="B23" s="148" t="str">
        <f aca="false">'M Q'!AB9</f>
        <v>MILLOTTE ROMAIN</v>
      </c>
      <c r="C23" s="147" t="n">
        <f aca="false">'M Q'!AC9</f>
        <v>91</v>
      </c>
      <c r="D23" s="147" t="n">
        <f aca="false">'M Q'!AD9</f>
        <v>90</v>
      </c>
      <c r="E23" s="147" t="n">
        <f aca="false">'M Q'!AE9</f>
        <v>86</v>
      </c>
      <c r="F23" s="147" t="n">
        <f aca="false">'M Q'!AF9</f>
        <v>267</v>
      </c>
      <c r="G23" s="147" t="n">
        <f aca="false">'M Q'!AG9</f>
        <v>0</v>
      </c>
      <c r="H23" s="149"/>
      <c r="I23" s="152" t="n">
        <f aca="false">N23+0.0001*O23+0.0000001*M23+0.0000000001*L23</f>
        <v>255.0000083086</v>
      </c>
      <c r="J23" s="148" t="str">
        <f aca="false">'M Q'!AB12</f>
        <v>GRAEBLING SOLENA</v>
      </c>
      <c r="K23" s="148" t="n">
        <f aca="false">'M Q'!AC12</f>
        <v>86</v>
      </c>
      <c r="L23" s="148" t="n">
        <f aca="false">'M Q'!AD12</f>
        <v>86</v>
      </c>
      <c r="M23" s="148" t="n">
        <f aca="false">'M Q'!AE12</f>
        <v>83</v>
      </c>
      <c r="N23" s="148" t="n">
        <f aca="false">'M Q'!AF12</f>
        <v>255</v>
      </c>
      <c r="O23" s="148" t="n">
        <f aca="false">'M Q'!AG12</f>
        <v>0</v>
      </c>
    </row>
    <row r="24" customFormat="false" ht="22" hidden="false" customHeight="true" outlineLevel="0" collapsed="false">
      <c r="A24" s="153"/>
      <c r="B24" s="149"/>
      <c r="C24" s="149"/>
      <c r="D24" s="149"/>
      <c r="E24" s="149"/>
      <c r="F24" s="149"/>
      <c r="G24" s="149"/>
      <c r="H24" s="149"/>
      <c r="I24" s="153"/>
      <c r="J24" s="149"/>
      <c r="K24" s="149"/>
      <c r="L24" s="149"/>
      <c r="M24" s="149"/>
      <c r="N24" s="149"/>
      <c r="O24" s="149"/>
    </row>
    <row r="25" customFormat="false" ht="22" hidden="false" customHeight="true" outlineLevel="0" collapsed="false">
      <c r="A25" s="147"/>
      <c r="B25" s="148" t="str">
        <f aca="false">IF(INFO!B8&gt;3,"CLUB N°4","")</f>
        <v>CLUB N°4</v>
      </c>
      <c r="C25" s="148" t="str">
        <f aca="false">'M Q'!B10</f>
        <v>NEUFCHATEAU</v>
      </c>
      <c r="D25" s="148"/>
      <c r="E25" s="148"/>
      <c r="F25" s="147" t="n">
        <f aca="false">'M Q'!AH10</f>
        <v>1292</v>
      </c>
      <c r="G25" s="147"/>
      <c r="H25" s="149"/>
      <c r="I25" s="147"/>
      <c r="J25" s="148" t="str">
        <f aca="false">IF(INFO!B8&gt;4,"CLUB N°5","")</f>
        <v>CLUB N°5</v>
      </c>
      <c r="K25" s="148" t="str">
        <f aca="false">'M Q'!B11</f>
        <v>PLOMBIERES</v>
      </c>
      <c r="L25" s="148"/>
      <c r="M25" s="148"/>
      <c r="N25" s="147" t="n">
        <f aca="false">'M Q'!AH11</f>
        <v>1279</v>
      </c>
      <c r="O25" s="148"/>
    </row>
    <row r="26" customFormat="false" ht="22" hidden="false" customHeight="true" outlineLevel="0" collapsed="false">
      <c r="A26" s="148"/>
      <c r="B26" s="148" t="s">
        <v>104</v>
      </c>
      <c r="C26" s="151" t="s">
        <v>105</v>
      </c>
      <c r="D26" s="151" t="s">
        <v>106</v>
      </c>
      <c r="E26" s="151" t="s">
        <v>107</v>
      </c>
      <c r="F26" s="148" t="s">
        <v>108</v>
      </c>
      <c r="G26" s="148"/>
      <c r="H26" s="149"/>
      <c r="I26" s="148"/>
      <c r="J26" s="148" t="s">
        <v>104</v>
      </c>
      <c r="K26" s="151" t="s">
        <v>105</v>
      </c>
      <c r="L26" s="151" t="s">
        <v>106</v>
      </c>
      <c r="M26" s="151" t="s">
        <v>107</v>
      </c>
      <c r="N26" s="148" t="s">
        <v>108</v>
      </c>
      <c r="O26" s="148"/>
    </row>
    <row r="27" customFormat="false" ht="22" hidden="false" customHeight="true" outlineLevel="0" collapsed="false">
      <c r="A27" s="152" t="n">
        <f aca="false">F27+0.0001*G27+0.0000001*E27+0.0000000001*D27</f>
        <v>235.0000074075</v>
      </c>
      <c r="B27" s="148" t="str">
        <f aca="false">'M Q'!D10</f>
        <v>WILLEMIN LUDOVIC</v>
      </c>
      <c r="C27" s="147" t="n">
        <f aca="false">'M Q'!E10</f>
        <v>86</v>
      </c>
      <c r="D27" s="147" t="n">
        <f aca="false">'M Q'!F10</f>
        <v>75</v>
      </c>
      <c r="E27" s="147" t="n">
        <f aca="false">'M Q'!G10</f>
        <v>74</v>
      </c>
      <c r="F27" s="147" t="n">
        <f aca="false">'M Q'!H10</f>
        <v>235</v>
      </c>
      <c r="G27" s="147" t="n">
        <f aca="false">'M Q'!I10</f>
        <v>0</v>
      </c>
      <c r="H27" s="149"/>
      <c r="I27" s="152" t="n">
        <f aca="false">N27+0.0001*O27+0.0000001*M27+0.0000000001*L27</f>
        <v>272.0000089091</v>
      </c>
      <c r="J27" s="148" t="str">
        <f aca="false">'M Q'!D11</f>
        <v>MARIN JEROME</v>
      </c>
      <c r="K27" s="148" t="n">
        <f aca="false">'M Q'!E11</f>
        <v>92</v>
      </c>
      <c r="L27" s="148" t="n">
        <f aca="false">'M Q'!F11</f>
        <v>91</v>
      </c>
      <c r="M27" s="148" t="n">
        <f aca="false">'M Q'!G11</f>
        <v>89</v>
      </c>
      <c r="N27" s="148" t="n">
        <f aca="false">'M Q'!H11</f>
        <v>272</v>
      </c>
      <c r="O27" s="148" t="n">
        <f aca="false">'M Q'!I11</f>
        <v>0</v>
      </c>
    </row>
    <row r="28" customFormat="false" ht="22" hidden="false" customHeight="true" outlineLevel="0" collapsed="false">
      <c r="A28" s="152" t="n">
        <f aca="false">F28+0.0001*G28+0.0000001*E28+0.0000000001*D28</f>
        <v>266.0000084088</v>
      </c>
      <c r="B28" s="148" t="str">
        <f aca="false">'M Q'!J10</f>
        <v>BRION-BOGARD SANDRINE</v>
      </c>
      <c r="C28" s="147" t="n">
        <f aca="false">'M Q'!K10</f>
        <v>94</v>
      </c>
      <c r="D28" s="147" t="n">
        <f aca="false">'M Q'!L10</f>
        <v>88</v>
      </c>
      <c r="E28" s="147" t="n">
        <f aca="false">'M Q'!M10</f>
        <v>84</v>
      </c>
      <c r="F28" s="147" t="n">
        <f aca="false">'M Q'!N10</f>
        <v>266</v>
      </c>
      <c r="G28" s="147" t="n">
        <f aca="false">'M Q'!O10</f>
        <v>0</v>
      </c>
      <c r="H28" s="149"/>
      <c r="I28" s="152" t="n">
        <f aca="false">N28+0.0001*O28+0.0000001*M28+0.0000000001*L28</f>
        <v>254.0000085084</v>
      </c>
      <c r="J28" s="148" t="str">
        <f aca="false">'M Q'!J11</f>
        <v>JORAND DANIEL</v>
      </c>
      <c r="K28" s="148" t="n">
        <f aca="false">'M Q'!K11</f>
        <v>85</v>
      </c>
      <c r="L28" s="148" t="n">
        <f aca="false">'M Q'!L11</f>
        <v>84</v>
      </c>
      <c r="M28" s="148" t="n">
        <f aca="false">'M Q'!M11</f>
        <v>85</v>
      </c>
      <c r="N28" s="148" t="n">
        <f aca="false">'M Q'!N11</f>
        <v>254</v>
      </c>
      <c r="O28" s="148" t="n">
        <f aca="false">'M Q'!O11</f>
        <v>0</v>
      </c>
    </row>
    <row r="29" customFormat="false" ht="22" hidden="false" customHeight="true" outlineLevel="0" collapsed="false">
      <c r="A29" s="152" t="n">
        <f aca="false">F29+0.0001*G29+0.0000001*E29+0.0000000001*D29</f>
        <v>268.0000088087</v>
      </c>
      <c r="B29" s="148" t="str">
        <f aca="false">'M Q'!P10</f>
        <v>SERRANO FREDERIC</v>
      </c>
      <c r="C29" s="147" t="n">
        <f aca="false">'M Q'!Q10</f>
        <v>93</v>
      </c>
      <c r="D29" s="147" t="n">
        <f aca="false">'M Q'!R10</f>
        <v>87</v>
      </c>
      <c r="E29" s="147" t="n">
        <f aca="false">'M Q'!S10</f>
        <v>88</v>
      </c>
      <c r="F29" s="147" t="n">
        <f aca="false">'M Q'!T10</f>
        <v>268</v>
      </c>
      <c r="G29" s="147" t="n">
        <f aca="false">'M Q'!U10</f>
        <v>0</v>
      </c>
      <c r="H29" s="149"/>
      <c r="I29" s="152" t="n">
        <f aca="false">N29+0.0001*O29+0.0000001*M29+0.0000000001*L29</f>
        <v>260.0000092086</v>
      </c>
      <c r="J29" s="148" t="str">
        <f aca="false">'M Q'!P11</f>
        <v>AUBRY CEDRIC</v>
      </c>
      <c r="K29" s="148" t="n">
        <f aca="false">'M Q'!Q11</f>
        <v>82</v>
      </c>
      <c r="L29" s="148" t="n">
        <f aca="false">'M Q'!R11</f>
        <v>86</v>
      </c>
      <c r="M29" s="148" t="n">
        <f aca="false">'M Q'!S11</f>
        <v>92</v>
      </c>
      <c r="N29" s="148" t="n">
        <f aca="false">'M Q'!T11</f>
        <v>260</v>
      </c>
      <c r="O29" s="148" t="n">
        <f aca="false">'M Q'!U11</f>
        <v>0</v>
      </c>
    </row>
    <row r="30" customFormat="false" ht="22" hidden="false" customHeight="true" outlineLevel="0" collapsed="false">
      <c r="A30" s="152" t="n">
        <f aca="false">F30+0.0001*G30+0.0000001*E30+0.0000000001*D30</f>
        <v>254.0000084085</v>
      </c>
      <c r="B30" s="148" t="str">
        <f aca="false">'M Q'!V10</f>
        <v>CALME ROMAIN</v>
      </c>
      <c r="C30" s="147" t="n">
        <f aca="false">'M Q'!W10</f>
        <v>85</v>
      </c>
      <c r="D30" s="147" t="n">
        <f aca="false">'M Q'!X10</f>
        <v>85</v>
      </c>
      <c r="E30" s="147" t="n">
        <f aca="false">'M Q'!Y10</f>
        <v>84</v>
      </c>
      <c r="F30" s="147" t="n">
        <f aca="false">'M Q'!Z10</f>
        <v>254</v>
      </c>
      <c r="G30" s="147" t="n">
        <f aca="false">'M Q'!AA10</f>
        <v>0</v>
      </c>
      <c r="H30" s="149"/>
      <c r="I30" s="152" t="n">
        <f aca="false">N30+0.0001*O30+0.0000001*M30+0.0000000001*L30</f>
        <v>215.0000079073</v>
      </c>
      <c r="J30" s="148" t="str">
        <f aca="false">'M Q'!V11</f>
        <v>DERBESSE BASTIEN</v>
      </c>
      <c r="K30" s="148" t="n">
        <f aca="false">'M Q'!W11</f>
        <v>63</v>
      </c>
      <c r="L30" s="148" t="n">
        <f aca="false">'M Q'!X11</f>
        <v>73</v>
      </c>
      <c r="M30" s="148" t="n">
        <f aca="false">'M Q'!Y11</f>
        <v>79</v>
      </c>
      <c r="N30" s="148" t="n">
        <f aca="false">'M Q'!Z11</f>
        <v>215</v>
      </c>
      <c r="O30" s="148" t="n">
        <f aca="false">'M Q'!AA11</f>
        <v>0</v>
      </c>
    </row>
    <row r="31" customFormat="false" ht="22" hidden="false" customHeight="true" outlineLevel="0" collapsed="false">
      <c r="A31" s="152" t="n">
        <f aca="false">F31+0.0001*G31+0.0000001*E31+0.0000000001*D31</f>
        <v>269.0000090088</v>
      </c>
      <c r="B31" s="148" t="str">
        <f aca="false">'M Q'!AB10</f>
        <v>SOLER JOSE</v>
      </c>
      <c r="C31" s="147" t="n">
        <f aca="false">'M Q'!AC10</f>
        <v>91</v>
      </c>
      <c r="D31" s="147" t="n">
        <f aca="false">'M Q'!AD10</f>
        <v>88</v>
      </c>
      <c r="E31" s="147" t="n">
        <f aca="false">'M Q'!AE10</f>
        <v>90</v>
      </c>
      <c r="F31" s="147" t="n">
        <f aca="false">'M Q'!AF10</f>
        <v>269</v>
      </c>
      <c r="G31" s="147" t="n">
        <f aca="false">'M Q'!AG10</f>
        <v>0</v>
      </c>
      <c r="H31" s="149"/>
      <c r="I31" s="152" t="n">
        <f aca="false">N31+0.0001*O31+0.0000001*M31+0.0000000001*L31</f>
        <v>278.000009509</v>
      </c>
      <c r="J31" s="148" t="str">
        <f aca="false">'M Q'!AB11</f>
        <v>MARIN ANTONIN</v>
      </c>
      <c r="K31" s="148" t="n">
        <f aca="false">'M Q'!AC11</f>
        <v>93</v>
      </c>
      <c r="L31" s="148" t="n">
        <f aca="false">'M Q'!AD11</f>
        <v>90</v>
      </c>
      <c r="M31" s="148" t="n">
        <f aca="false">'M Q'!AE11</f>
        <v>95</v>
      </c>
      <c r="N31" s="148" t="n">
        <f aca="false">'M Q'!AF11</f>
        <v>278</v>
      </c>
      <c r="O31" s="148" t="n">
        <f aca="false">'M Q'!AG11</f>
        <v>0</v>
      </c>
    </row>
  </sheetData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4" activeCellId="1" sqref="E12:E16 P24"/>
    </sheetView>
  </sheetViews>
  <sheetFormatPr defaultRowHeight="16" zeroHeight="false" outlineLevelRow="0" outlineLevelCol="0"/>
  <cols>
    <col collapsed="false" customWidth="true" hidden="false" outlineLevel="0" max="1" min="1" style="146" width="15.33"/>
    <col collapsed="false" customWidth="true" hidden="false" outlineLevel="0" max="2" min="2" style="146" width="25.67"/>
    <col collapsed="false" customWidth="true" hidden="false" outlineLevel="0" max="5" min="3" style="146" width="10.83"/>
    <col collapsed="false" customWidth="true" hidden="false" outlineLevel="0" max="6" min="6" style="146" width="8.5"/>
    <col collapsed="false" customWidth="true" hidden="false" outlineLevel="0" max="7" min="7" style="146" width="3.66"/>
    <col collapsed="false" customWidth="true" hidden="false" outlineLevel="0" max="8" min="8" style="146" width="25.67"/>
    <col collapsed="false" customWidth="true" hidden="false" outlineLevel="0" max="11" min="9" style="146" width="10.66"/>
    <col collapsed="false" customWidth="true" hidden="false" outlineLevel="0" max="12" min="12" style="146" width="8.5"/>
    <col collapsed="false" customWidth="true" hidden="false" outlineLevel="0" max="13" min="13" style="146" width="5.66"/>
    <col collapsed="false" customWidth="true" hidden="false" outlineLevel="0" max="1025" min="14" style="146" width="6.83"/>
  </cols>
  <sheetData>
    <row r="1" customFormat="false" ht="50" hidden="false" customHeight="true" outlineLevel="0" collapsed="false">
      <c r="A1" s="155"/>
      <c r="B1" s="156" t="s">
        <v>110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5"/>
      <c r="N1" s="155"/>
    </row>
    <row r="2" customFormat="false" ht="22" hidden="false" customHeight="true" outlineLevel="0" collapsed="false">
      <c r="A2" s="157"/>
      <c r="B2" s="158" t="s">
        <v>103</v>
      </c>
      <c r="C2" s="159" t="str">
        <f aca="false">'Clb Q (2)'!C1</f>
        <v>THAON</v>
      </c>
      <c r="D2" s="159"/>
      <c r="E2" s="159"/>
      <c r="F2" s="160" t="n">
        <f aca="false">'Clb Q (2)'!F1</f>
        <v>1331</v>
      </c>
      <c r="G2" s="157"/>
      <c r="H2" s="161" t="str">
        <f aca="false">IF(INFO!B8&gt;7,"CLUB N°8","")</f>
        <v>CLUB N°8</v>
      </c>
      <c r="I2" s="159" t="str">
        <f aca="false">IF(INFO!B8&gt;7,'Clb Q (2)'!K1,"")</f>
        <v>RAMBERVILLERS</v>
      </c>
      <c r="J2" s="159"/>
      <c r="K2" s="159"/>
      <c r="L2" s="160" t="n">
        <f aca="false">IF(INFO!B8&gt;7,'Clb Q (2)'!N1,"")</f>
        <v>1212</v>
      </c>
      <c r="M2" s="157"/>
    </row>
    <row r="3" customFormat="false" ht="22" hidden="false" customHeight="true" outlineLevel="0" collapsed="false">
      <c r="A3" s="162"/>
      <c r="B3" s="161" t="s">
        <v>104</v>
      </c>
      <c r="C3" s="163" t="s">
        <v>105</v>
      </c>
      <c r="D3" s="164" t="s">
        <v>106</v>
      </c>
      <c r="E3" s="165" t="s">
        <v>107</v>
      </c>
      <c r="F3" s="161" t="s">
        <v>108</v>
      </c>
      <c r="G3" s="157"/>
      <c r="H3" s="161" t="s">
        <v>104</v>
      </c>
      <c r="I3" s="163" t="s">
        <v>105</v>
      </c>
      <c r="J3" s="164" t="s">
        <v>106</v>
      </c>
      <c r="K3" s="165" t="s">
        <v>107</v>
      </c>
      <c r="L3" s="161" t="s">
        <v>108</v>
      </c>
      <c r="M3" s="157"/>
    </row>
    <row r="4" customFormat="false" ht="22" hidden="false" customHeight="true" outlineLevel="0" collapsed="false">
      <c r="A4" s="162"/>
      <c r="B4" s="166" t="str">
        <f aca="false">VLOOKUP(F4,'Clb Q (2)'!A$3:G$7,2,0)</f>
        <v>TABOUREUX ADRIEN</v>
      </c>
      <c r="C4" s="167" t="n">
        <f aca="false">VLOOKUP(F4,'Clb Q (2)'!A$3:G$7,3,0)</f>
        <v>89</v>
      </c>
      <c r="D4" s="168" t="n">
        <f aca="false">VLOOKUP(F4,'Clb Q (2)'!A$3:G$7,4,0)</f>
        <v>95</v>
      </c>
      <c r="E4" s="169" t="n">
        <f aca="false">VLOOKUP(F4,'Clb Q (2)'!A$3:G$7,5,0)</f>
        <v>90</v>
      </c>
      <c r="F4" s="166" t="n">
        <f aca="false">LARGE('Clb Q (2)'!A$3:A$7,1)</f>
        <v>274.0000090095</v>
      </c>
      <c r="G4" s="157"/>
      <c r="H4" s="166" t="str">
        <f aca="false">IF(INFO!B$8&gt;7,VLOOKUP(L4,'Clb Q (2)'!I$3:O$7,2,0),"")</f>
        <v>VIMEUX JORDAN</v>
      </c>
      <c r="I4" s="167" t="n">
        <f aca="false">IF(INFO!B$8&gt;7,VLOOKUP(L4,'Clb Q (2)'!I$3:O$7,3,0),"")</f>
        <v>93</v>
      </c>
      <c r="J4" s="168" t="n">
        <f aca="false">IF(INFO!B$8&gt;7,VLOOKUP(L4,'Clb Q (2)'!I$3:O$7,4,0),"")</f>
        <v>80</v>
      </c>
      <c r="K4" s="169" t="n">
        <f aca="false">IF(INFO!B$8&gt;7,VLOOKUP(L4,'Clb Q (2)'!I$3:O$7,5,0),"")</f>
        <v>91</v>
      </c>
      <c r="L4" s="166" t="n">
        <f aca="false">IF(INFO!B$8&gt;7,LARGE('Clb Q (2)'!I$3:I$7,1),"")</f>
        <v>264.000009108</v>
      </c>
      <c r="M4" s="157"/>
    </row>
    <row r="5" customFormat="false" ht="22" hidden="false" customHeight="true" outlineLevel="0" collapsed="false">
      <c r="A5" s="162"/>
      <c r="B5" s="166" t="str">
        <f aca="false">VLOOKUP(F5,'Clb Q (2)'!A$3:G$7,2,0)</f>
        <v>TABOUREUX CHRISTOPHE</v>
      </c>
      <c r="C5" s="167" t="n">
        <f aca="false">VLOOKUP(F5,'Clb Q (2)'!A$3:G$7,3,0)</f>
        <v>92</v>
      </c>
      <c r="D5" s="168" t="n">
        <f aca="false">VLOOKUP(F5,'Clb Q (2)'!A$3:G$7,4,0)</f>
        <v>90</v>
      </c>
      <c r="E5" s="169" t="n">
        <f aca="false">VLOOKUP(F5,'Clb Q (2)'!A$3:G$7,5,0)</f>
        <v>91</v>
      </c>
      <c r="F5" s="166" t="n">
        <f aca="false">LARGE('Clb Q (2)'!A$3:A$7,2)</f>
        <v>273.000009109</v>
      </c>
      <c r="G5" s="157"/>
      <c r="H5" s="166" t="str">
        <f aca="false">IF(INFO!B$8&gt;7,VLOOKUP(L5,'Clb Q (2)'!I$3:O$7,2,0),"")</f>
        <v>VAIREL LOUIS</v>
      </c>
      <c r="I5" s="167" t="n">
        <f aca="false">IF(INFO!B$8&gt;7,VLOOKUP(L5,'Clb Q (2)'!I$3:O$7,3,0),"")</f>
        <v>81</v>
      </c>
      <c r="J5" s="168" t="n">
        <f aca="false">IF(INFO!B$8&gt;7,VLOOKUP(L5,'Clb Q (2)'!I$3:O$7,4,0),"")</f>
        <v>88</v>
      </c>
      <c r="K5" s="169" t="n">
        <f aca="false">IF(INFO!B$8&gt;7,VLOOKUP(L5,'Clb Q (2)'!I$3:O$7,5,0),"")</f>
        <v>79</v>
      </c>
      <c r="L5" s="166" t="n">
        <f aca="false">IF(INFO!B$8&gt;7,LARGE('Clb Q (2)'!I$3:I$7,2),"")</f>
        <v>248.0000079088</v>
      </c>
      <c r="M5" s="157"/>
    </row>
    <row r="6" customFormat="false" ht="22" hidden="false" customHeight="true" outlineLevel="0" collapsed="false">
      <c r="A6" s="162"/>
      <c r="B6" s="166" t="str">
        <f aca="false">VLOOKUP(F6,'Clb Q (2)'!A$3:G$7,2,0)</f>
        <v>PARISSE ALEXANDRE</v>
      </c>
      <c r="C6" s="167" t="n">
        <f aca="false">VLOOKUP(F6,'Clb Q (2)'!A$3:G$7,3,0)</f>
        <v>91</v>
      </c>
      <c r="D6" s="168" t="n">
        <f aca="false">VLOOKUP(F6,'Clb Q (2)'!A$3:G$7,4,0)</f>
        <v>91</v>
      </c>
      <c r="E6" s="169" t="n">
        <f aca="false">VLOOKUP(F6,'Clb Q (2)'!A$3:G$7,5,0)</f>
        <v>90</v>
      </c>
      <c r="F6" s="166" t="n">
        <f aca="false">LARGE('Clb Q (2)'!A$3:A$7,3)</f>
        <v>272.0000090091</v>
      </c>
      <c r="G6" s="157"/>
      <c r="H6" s="166" t="str">
        <f aca="false">IF(INFO!B$8&gt;7,VLOOKUP(L6,'Clb Q (2)'!I$3:O$7,2,0),"")</f>
        <v>POIROT JEAN-MARIE</v>
      </c>
      <c r="I6" s="167" t="n">
        <f aca="false">IF(INFO!B$8&gt;7,VLOOKUP(L6,'Clb Q (2)'!I$3:O$7,3,0),"")</f>
        <v>86</v>
      </c>
      <c r="J6" s="168" t="n">
        <f aca="false">IF(INFO!B$8&gt;7,VLOOKUP(L6,'Clb Q (2)'!I$3:O$7,4,0),"")</f>
        <v>80</v>
      </c>
      <c r="K6" s="169" t="n">
        <f aca="false">IF(INFO!B$8&gt;7,VLOOKUP(L6,'Clb Q (2)'!I$3:O$7,5,0),"")</f>
        <v>80</v>
      </c>
      <c r="L6" s="166" t="n">
        <f aca="false">IF(INFO!B$8&gt;7,LARGE('Clb Q (2)'!I$3:I$7,3),"")</f>
        <v>246.000008008</v>
      </c>
      <c r="M6" s="157"/>
    </row>
    <row r="7" customFormat="false" ht="22" hidden="false" customHeight="true" outlineLevel="0" collapsed="false">
      <c r="A7" s="162"/>
      <c r="B7" s="166" t="str">
        <f aca="false">VLOOKUP(F7,'Clb Q (2)'!A$3:G$7,2,0)</f>
        <v>TABOUREUX ANNE</v>
      </c>
      <c r="C7" s="167" t="n">
        <f aca="false">VLOOKUP(F7,'Clb Q (2)'!A$3:G$7,3,0)</f>
        <v>89</v>
      </c>
      <c r="D7" s="168" t="n">
        <f aca="false">VLOOKUP(F7,'Clb Q (2)'!A$3:G$7,4,0)</f>
        <v>94</v>
      </c>
      <c r="E7" s="169" t="n">
        <f aca="false">VLOOKUP(F7,'Clb Q (2)'!A$3:G$7,5,0)</f>
        <v>87</v>
      </c>
      <c r="F7" s="166" t="n">
        <f aca="false">LARGE('Clb Q (2)'!A$3:A$7,4)</f>
        <v>270.0000087094</v>
      </c>
      <c r="G7" s="157"/>
      <c r="H7" s="166" t="str">
        <f aca="false">IF(INFO!B$8&gt;7,VLOOKUP(L7,'Clb Q (2)'!I$3:O$7,2,0),"")</f>
        <v>LALLEMAND AUGUSTIN</v>
      </c>
      <c r="I7" s="167" t="n">
        <f aca="false">IF(INFO!B$8&gt;7,VLOOKUP(L7,'Clb Q (2)'!I$3:O$7,3,0),"")</f>
        <v>74</v>
      </c>
      <c r="J7" s="168" t="n">
        <f aca="false">IF(INFO!B$8&gt;7,VLOOKUP(L7,'Clb Q (2)'!I$3:O$7,4,0),"")</f>
        <v>76</v>
      </c>
      <c r="K7" s="169" t="n">
        <f aca="false">IF(INFO!B$8&gt;7,VLOOKUP(L7,'Clb Q (2)'!I$3:O$7,5,0),"")</f>
        <v>78</v>
      </c>
      <c r="L7" s="166" t="n">
        <f aca="false">IF(INFO!B$8&gt;7,LARGE('Clb Q (2)'!I$3:I$7,4),"")</f>
        <v>228.0000078076</v>
      </c>
      <c r="M7" s="157"/>
    </row>
    <row r="8" customFormat="false" ht="22" hidden="false" customHeight="true" outlineLevel="0" collapsed="false">
      <c r="A8" s="162"/>
      <c r="B8" s="170" t="str">
        <f aca="false">VLOOKUP(F8,'Clb Q (2)'!A$3:G$7,2,0)</f>
        <v>FRAYARD LAURENCE</v>
      </c>
      <c r="C8" s="159" t="n">
        <f aca="false">VLOOKUP(F8,'Clb Q (2)'!A$3:G$7,3,0)</f>
        <v>80</v>
      </c>
      <c r="D8" s="171" t="n">
        <f aca="false">VLOOKUP(F8,'Clb Q (2)'!A$3:G$7,4,0)</f>
        <v>79</v>
      </c>
      <c r="E8" s="172" t="n">
        <f aca="false">VLOOKUP(F8,'Clb Q (2)'!A$3:G$7,5,0)</f>
        <v>83</v>
      </c>
      <c r="F8" s="170" t="n">
        <f aca="false">LARGE('Clb Q (2)'!A$3:A$7,5)</f>
        <v>242.0000083079</v>
      </c>
      <c r="G8" s="157"/>
      <c r="H8" s="170" t="str">
        <f aca="false">IF(INFO!B$8&gt;7,VLOOKUP(L8,'Clb Q (2)'!I$3:O$7,2,0),"")</f>
        <v>AUBRY GERALD</v>
      </c>
      <c r="I8" s="159" t="n">
        <f aca="false">IF(INFO!B$8&gt;7,VLOOKUP(L8,'Clb Q (2)'!I$3:O$7,3,0),"")</f>
        <v>75</v>
      </c>
      <c r="J8" s="171" t="n">
        <f aca="false">IF(INFO!B$8&gt;7,VLOOKUP(L8,'Clb Q (2)'!I$3:O$7,4,0),"")</f>
        <v>64</v>
      </c>
      <c r="K8" s="172" t="n">
        <f aca="false">IF(INFO!B$8&gt;7,VLOOKUP(L8,'Clb Q (2)'!I$3:O$7,5,0),"")</f>
        <v>87</v>
      </c>
      <c r="L8" s="170" t="n">
        <f aca="false">IF(INFO!B$8&gt;7,LARGE('Clb Q (2)'!I$3:I$7,5),"")</f>
        <v>226.0000087064</v>
      </c>
      <c r="M8" s="157"/>
    </row>
    <row r="9" customFormat="false" ht="22" hidden="false" customHeight="true" outlineLevel="0" collapsed="false">
      <c r="A9" s="149"/>
      <c r="B9" s="173"/>
      <c r="C9" s="157"/>
      <c r="D9" s="157"/>
      <c r="E9" s="157"/>
      <c r="F9" s="173"/>
      <c r="G9" s="157"/>
      <c r="H9" s="173"/>
      <c r="I9" s="157"/>
      <c r="J9" s="157"/>
      <c r="K9" s="157"/>
      <c r="L9" s="173"/>
      <c r="M9" s="157"/>
    </row>
    <row r="10" customFormat="false" ht="22" hidden="false" customHeight="true" outlineLevel="0" collapsed="false">
      <c r="A10" s="149"/>
      <c r="B10" s="161" t="s">
        <v>109</v>
      </c>
      <c r="C10" s="159" t="str">
        <f aca="false">'Clb Q (2)'!C9</f>
        <v>MOYENMOUTIER</v>
      </c>
      <c r="D10" s="159"/>
      <c r="E10" s="159"/>
      <c r="F10" s="160" t="n">
        <f aca="false">'Clb Q (2)'!F9</f>
        <v>1312</v>
      </c>
      <c r="G10" s="157"/>
      <c r="H10" s="161" t="str">
        <f aca="false">IF(INFO!B8&gt;6,"CLUB N°7","")</f>
        <v>CLUB N°7</v>
      </c>
      <c r="I10" s="159" t="str">
        <f aca="false">IF(INFO!B8&gt;6,'Clb Q (2)'!K9,"")</f>
        <v>VINCEY</v>
      </c>
      <c r="J10" s="159"/>
      <c r="K10" s="159"/>
      <c r="L10" s="160" t="n">
        <f aca="false">IF(INFO!B8&gt;6,'Clb Q (2)'!N9,"")</f>
        <v>1245</v>
      </c>
      <c r="M10" s="157"/>
    </row>
    <row r="11" customFormat="false" ht="22" hidden="false" customHeight="true" outlineLevel="0" collapsed="false">
      <c r="A11" s="162"/>
      <c r="B11" s="161" t="s">
        <v>104</v>
      </c>
      <c r="C11" s="163" t="s">
        <v>105</v>
      </c>
      <c r="D11" s="164" t="s">
        <v>106</v>
      </c>
      <c r="E11" s="165" t="s">
        <v>107</v>
      </c>
      <c r="F11" s="161" t="s">
        <v>108</v>
      </c>
      <c r="G11" s="157"/>
      <c r="H11" s="161" t="s">
        <v>104</v>
      </c>
      <c r="I11" s="163" t="s">
        <v>105</v>
      </c>
      <c r="J11" s="164" t="s">
        <v>106</v>
      </c>
      <c r="K11" s="165" t="s">
        <v>107</v>
      </c>
      <c r="L11" s="161" t="s">
        <v>108</v>
      </c>
      <c r="M11" s="157"/>
    </row>
    <row r="12" customFormat="false" ht="22" hidden="false" customHeight="true" outlineLevel="0" collapsed="false">
      <c r="A12" s="162"/>
      <c r="B12" s="174" t="str">
        <f aca="false">VLOOKUP(F12,'Clb Q (2)'!A$11:G$15,2,0)</f>
        <v>GRIVEL CHRISTOPHE</v>
      </c>
      <c r="C12" s="167" t="n">
        <f aca="false">VLOOKUP(F12,'Clb Q (2)'!A$11:G$15,3,0)</f>
        <v>90</v>
      </c>
      <c r="D12" s="168" t="n">
        <f aca="false">VLOOKUP(F12,'Clb Q (2)'!A$11:G$15,4,0)</f>
        <v>92</v>
      </c>
      <c r="E12" s="169" t="n">
        <f aca="false">VLOOKUP(F12,'Clb Q (2)'!A$11:G$15,5,0)</f>
        <v>94</v>
      </c>
      <c r="F12" s="166" t="n">
        <f aca="false">LARGE('Clb Q (2)'!A$11:A$15,1)</f>
        <v>276.0000094092</v>
      </c>
      <c r="G12" s="157"/>
      <c r="H12" s="166" t="str">
        <f aca="false">IF(INFO!B$8&gt;6,VLOOKUP(L12,'Clb Q (2)'!I$11:O$15,2,0),"")</f>
        <v>MARCHAL EMMA</v>
      </c>
      <c r="I12" s="167" t="n">
        <f aca="false">IF(INFO!B$8&gt;6,VLOOKUP(L12,'Clb Q (2)'!I$11:O$15,3,0),"")</f>
        <v>93</v>
      </c>
      <c r="J12" s="168" t="n">
        <f aca="false">IF(INFO!B$8&gt;6,VLOOKUP(L12,'Clb Q (2)'!I$11:O$15,4,0),"")</f>
        <v>86</v>
      </c>
      <c r="K12" s="169" t="n">
        <f aca="false">IF(INFO!B$8&gt;6,VLOOKUP(L12,'Clb Q (2)'!I$11:O$15,5,0),"")</f>
        <v>80</v>
      </c>
      <c r="L12" s="166" t="n">
        <f aca="false">IF(INFO!B$8&gt;6,LARGE('Clb Q (2)'!I$11:I$15,1),"")</f>
        <v>259.0000080086</v>
      </c>
      <c r="M12" s="157"/>
    </row>
    <row r="13" customFormat="false" ht="22" hidden="false" customHeight="true" outlineLevel="0" collapsed="false">
      <c r="A13" s="162"/>
      <c r="B13" s="166" t="str">
        <f aca="false">VLOOKUP(F13,'Clb Q (2)'!A$11:G$15,2,0)</f>
        <v>COLIN MICHEL</v>
      </c>
      <c r="C13" s="167" t="n">
        <f aca="false">VLOOKUP(F13,'Clb Q (2)'!A$11:G$15,3,0)</f>
        <v>90</v>
      </c>
      <c r="D13" s="168" t="n">
        <f aca="false">VLOOKUP(F13,'Clb Q (2)'!A$11:G$15,4,0)</f>
        <v>92</v>
      </c>
      <c r="E13" s="169" t="n">
        <f aca="false">VLOOKUP(F13,'Clb Q (2)'!A$11:G$15,5,0)</f>
        <v>88</v>
      </c>
      <c r="F13" s="166" t="n">
        <f aca="false">LARGE('Clb Q (2)'!A$11:A$15,2)</f>
        <v>270.0000088092</v>
      </c>
      <c r="G13" s="157"/>
      <c r="H13" s="166" t="str">
        <f aca="false">IF(INFO!B$8&gt;6,VLOOKUP(L13,'Clb Q (2)'!I$11:O$15,2,0),"")</f>
        <v>BERBAGUI LINE</v>
      </c>
      <c r="I13" s="167" t="n">
        <f aca="false">IF(INFO!B$8&gt;6,VLOOKUP(L13,'Clb Q (2)'!I$11:O$15,3,0),"")</f>
        <v>85</v>
      </c>
      <c r="J13" s="168" t="n">
        <f aca="false">IF(INFO!B$8&gt;6,VLOOKUP(L13,'Clb Q (2)'!I$11:O$15,4,0),"")</f>
        <v>81</v>
      </c>
      <c r="K13" s="169" t="n">
        <f aca="false">IF(INFO!B$8&gt;6,VLOOKUP(L13,'Clb Q (2)'!I$11:O$15,5,0),"")</f>
        <v>90</v>
      </c>
      <c r="L13" s="166" t="n">
        <f aca="false">IF(INFO!B$8&gt;6,LARGE('Clb Q (2)'!I$11:I$15,2),"")</f>
        <v>256.0000090081</v>
      </c>
      <c r="M13" s="157"/>
    </row>
    <row r="14" customFormat="false" ht="22" hidden="false" customHeight="true" outlineLevel="0" collapsed="false">
      <c r="A14" s="162"/>
      <c r="B14" s="166" t="str">
        <f aca="false">VLOOKUP(F14,'Clb Q (2)'!A$11:G$15,2,0)</f>
        <v>GILLOT PIERRE</v>
      </c>
      <c r="C14" s="167" t="n">
        <f aca="false">VLOOKUP(F14,'Clb Q (2)'!A$11:G$15,3,0)</f>
        <v>91</v>
      </c>
      <c r="D14" s="168" t="n">
        <f aca="false">VLOOKUP(F14,'Clb Q (2)'!A$11:G$15,4,0)</f>
        <v>86</v>
      </c>
      <c r="E14" s="169" t="n">
        <f aca="false">VLOOKUP(F14,'Clb Q (2)'!A$11:G$15,5,0)</f>
        <v>86</v>
      </c>
      <c r="F14" s="166" t="n">
        <f aca="false">LARGE('Clb Q (2)'!A$11:A$15,3)</f>
        <v>263.0000086086</v>
      </c>
      <c r="G14" s="157"/>
      <c r="H14" s="166" t="str">
        <f aca="false">IF(INFO!B$8&gt;6,VLOOKUP(L14,'Clb Q (2)'!I$11:O$15,2,0),"")</f>
        <v>MARCHAL CLEMENT</v>
      </c>
      <c r="I14" s="167" t="n">
        <f aca="false">IF(INFO!B$8&gt;6,VLOOKUP(L14,'Clb Q (2)'!I$11:O$15,3,0),"")</f>
        <v>81</v>
      </c>
      <c r="J14" s="168" t="n">
        <f aca="false">IF(INFO!B$8&gt;6,VLOOKUP(L14,'Clb Q (2)'!I$11:O$15,4,0),"")</f>
        <v>88</v>
      </c>
      <c r="K14" s="169" t="n">
        <f aca="false">IF(INFO!B$8&gt;6,VLOOKUP(L14,'Clb Q (2)'!I$11:O$15,5,0),"")</f>
        <v>86</v>
      </c>
      <c r="L14" s="166" t="n">
        <f aca="false">IF(INFO!B$8&gt;6,LARGE('Clb Q (2)'!I$11:I$15,3),"")</f>
        <v>255.0000086088</v>
      </c>
      <c r="M14" s="157"/>
    </row>
    <row r="15" customFormat="false" ht="22" hidden="false" customHeight="true" outlineLevel="0" collapsed="false">
      <c r="A15" s="162"/>
      <c r="B15" s="166" t="str">
        <f aca="false">VLOOKUP(F15,'Clb Q (2)'!A$11:G$15,2,0)</f>
        <v>CHAMBRY JUSTINE</v>
      </c>
      <c r="C15" s="167" t="n">
        <f aca="false">VLOOKUP(F15,'Clb Q (2)'!A$11:G$15,3,0)</f>
        <v>88</v>
      </c>
      <c r="D15" s="168" t="n">
        <f aca="false">VLOOKUP(F15,'Clb Q (2)'!A$11:G$15,4,0)</f>
        <v>82</v>
      </c>
      <c r="E15" s="169" t="n">
        <f aca="false">VLOOKUP(F15,'Clb Q (2)'!A$11:G$15,5,0)</f>
        <v>82</v>
      </c>
      <c r="F15" s="166" t="n">
        <f aca="false">LARGE('Clb Q (2)'!A$11:A$15,4)</f>
        <v>252.0000082082</v>
      </c>
      <c r="G15" s="157"/>
      <c r="H15" s="166" t="str">
        <f aca="false">IF(INFO!B$8&gt;6,VLOOKUP(L15,'Clb Q (2)'!I$11:O$15,2,0),"")</f>
        <v>FEY THEO</v>
      </c>
      <c r="I15" s="167" t="n">
        <f aca="false">IF(INFO!B$8&gt;6,VLOOKUP(L15,'Clb Q (2)'!I$11:O$15,3,0),"")</f>
        <v>80</v>
      </c>
      <c r="J15" s="168" t="n">
        <f aca="false">IF(INFO!B$8&gt;6,VLOOKUP(L15,'Clb Q (2)'!I$11:O$15,4,0),"")</f>
        <v>76</v>
      </c>
      <c r="K15" s="169" t="n">
        <f aca="false">IF(INFO!B$8&gt;6,VLOOKUP(L15,'Clb Q (2)'!I$11:O$15,5,0),"")</f>
        <v>83</v>
      </c>
      <c r="L15" s="166" t="n">
        <f aca="false">IF(INFO!B$8&gt;6,LARGE('Clb Q (2)'!I$11:I$15,4),"")</f>
        <v>239.0000083076</v>
      </c>
      <c r="M15" s="157"/>
    </row>
    <row r="16" customFormat="false" ht="22" hidden="false" customHeight="true" outlineLevel="0" collapsed="false">
      <c r="A16" s="162"/>
      <c r="B16" s="170" t="str">
        <f aca="false">VLOOKUP(F16,'Clb Q (2)'!A$11:G$15,2,0)</f>
        <v>TACHET JEAN-MICHEL</v>
      </c>
      <c r="C16" s="159" t="n">
        <f aca="false">VLOOKUP(F16,'Clb Q (2)'!A$11:G$15,3,0)</f>
        <v>85</v>
      </c>
      <c r="D16" s="171" t="n">
        <f aca="false">VLOOKUP(F16,'Clb Q (2)'!A$11:G$15,4,0)</f>
        <v>85</v>
      </c>
      <c r="E16" s="172" t="n">
        <f aca="false">VLOOKUP(F16,'Clb Q (2)'!A$11:G$15,5,0)</f>
        <v>81</v>
      </c>
      <c r="F16" s="170" t="n">
        <f aca="false">LARGE('Clb Q (2)'!A$11:A$15,5)</f>
        <v>251.0000081085</v>
      </c>
      <c r="G16" s="157"/>
      <c r="H16" s="170" t="str">
        <f aca="false">IF(INFO!B$8&gt;6,VLOOKUP(L16,'Clb Q (2)'!I$11:O$15,2,0),"")</f>
        <v>GRANDJEAN CYRILLE</v>
      </c>
      <c r="I16" s="159" t="n">
        <f aca="false">IF(INFO!B$8&gt;6,VLOOKUP(L16,'Clb Q (2)'!I$11:O$15,3,0),"")</f>
        <v>76</v>
      </c>
      <c r="J16" s="171" t="n">
        <f aca="false">IF(INFO!B$8&gt;6,VLOOKUP(L16,'Clb Q (2)'!I$11:O$15,4,0),"")</f>
        <v>74</v>
      </c>
      <c r="K16" s="172" t="n">
        <f aca="false">IF(INFO!B$8&gt;6,VLOOKUP(L16,'Clb Q (2)'!I$11:O$15,5,0),"")</f>
        <v>86</v>
      </c>
      <c r="L16" s="170" t="n">
        <f aca="false">IF(INFO!B$8&gt;6,LARGE('Clb Q (2)'!I$11:I$15,5),"")</f>
        <v>236.0000086074</v>
      </c>
      <c r="M16" s="157"/>
    </row>
    <row r="17" customFormat="false" ht="22" hidden="false" customHeight="true" outlineLevel="0" collapsed="false">
      <c r="A17" s="149"/>
      <c r="B17" s="173"/>
      <c r="C17" s="157"/>
      <c r="D17" s="157"/>
      <c r="E17" s="157"/>
      <c r="F17" s="173"/>
      <c r="G17" s="157"/>
      <c r="H17" s="173"/>
      <c r="I17" s="157"/>
      <c r="J17" s="157"/>
      <c r="K17" s="157"/>
      <c r="L17" s="173"/>
      <c r="M17" s="157"/>
    </row>
    <row r="18" customFormat="false" ht="22" hidden="false" customHeight="true" outlineLevel="0" collapsed="false">
      <c r="A18" s="149"/>
      <c r="B18" s="161" t="str">
        <f aca="false">IF(INFO!B8&gt;2,"CLUB N°3","")</f>
        <v>CLUB N°3</v>
      </c>
      <c r="C18" s="159" t="str">
        <f aca="false">IF(INFO!B8&gt;2,'Clb Q (2)'!C17,"")</f>
        <v>REMIREMONT</v>
      </c>
      <c r="D18" s="159"/>
      <c r="E18" s="159"/>
      <c r="F18" s="160" t="n">
        <f aca="false">IF(INFO!B8&gt;2,'Clb Q (2)'!F17,"")</f>
        <v>1303</v>
      </c>
      <c r="G18" s="157"/>
      <c r="H18" s="161" t="str">
        <f aca="false">IF(INFO!B8&gt;5,"CLUB N°6","")</f>
        <v>CLUB N°6</v>
      </c>
      <c r="I18" s="159" t="str">
        <f aca="false">IF(INFO!B8&gt;5,'Clb Q (2)'!K17,"")</f>
        <v>EPINAL</v>
      </c>
      <c r="J18" s="159"/>
      <c r="K18" s="159"/>
      <c r="L18" s="160" t="n">
        <f aca="false">IF(INFO!B8&gt;5,'Clb Q (2)'!N17,"")</f>
        <v>1279</v>
      </c>
      <c r="M18" s="157"/>
    </row>
    <row r="19" customFormat="false" ht="22" hidden="false" customHeight="true" outlineLevel="0" collapsed="false">
      <c r="A19" s="162"/>
      <c r="B19" s="161" t="s">
        <v>104</v>
      </c>
      <c r="C19" s="163" t="s">
        <v>105</v>
      </c>
      <c r="D19" s="164" t="s">
        <v>106</v>
      </c>
      <c r="E19" s="165" t="s">
        <v>107</v>
      </c>
      <c r="F19" s="161" t="s">
        <v>108</v>
      </c>
      <c r="G19" s="157"/>
      <c r="H19" s="161" t="s">
        <v>104</v>
      </c>
      <c r="I19" s="163" t="s">
        <v>105</v>
      </c>
      <c r="J19" s="164" t="s">
        <v>106</v>
      </c>
      <c r="K19" s="165" t="s">
        <v>107</v>
      </c>
      <c r="L19" s="161" t="s">
        <v>108</v>
      </c>
      <c r="M19" s="157"/>
    </row>
    <row r="20" customFormat="false" ht="22" hidden="false" customHeight="true" outlineLevel="0" collapsed="false">
      <c r="A20" s="162"/>
      <c r="B20" s="166" t="str">
        <f aca="false">IF(INFO!B$8&gt;2,VLOOKUP(F20,'Clb Q (2)'!A$19:G$23,2,0),"")</f>
        <v>BERTRAND GEO</v>
      </c>
      <c r="C20" s="167" t="n">
        <f aca="false">IF(INFO!B$8&gt;2,VLOOKUP(F20,'Clb Q (2)'!A$19:G$23,3,0),"")</f>
        <v>89</v>
      </c>
      <c r="D20" s="168" t="n">
        <f aca="false">IF(INFO!B$8&gt;2,VLOOKUP(F20,'Clb Q (2)'!A$19:G$23,4,0),"")</f>
        <v>95</v>
      </c>
      <c r="E20" s="169" t="n">
        <f aca="false">IF(INFO!B$8&gt;2,VLOOKUP(F20,'Clb Q (2)'!A$19:G$23,5,0),"")</f>
        <v>93</v>
      </c>
      <c r="F20" s="166" t="n">
        <f aca="false">IF(INFO!B$8&gt;2,LARGE('Clb Q (2)'!A$19:A$23,1),"")</f>
        <v>277.0000093095</v>
      </c>
      <c r="G20" s="157"/>
      <c r="H20" s="166" t="str">
        <f aca="false">IF(INFO!B$8&gt;5,VLOOKUP(L20,'Clb Q (2)'!I$19:O$23,2,0),"")</f>
        <v>BRIQUE ZACCHARY</v>
      </c>
      <c r="I20" s="167" t="n">
        <f aca="false">IF(INFO!B$8&gt;5,VLOOKUP(L20,'Clb Q (2)'!I$19:O$23,3,0),"")</f>
        <v>83</v>
      </c>
      <c r="J20" s="168" t="n">
        <f aca="false">IF(INFO!B$8&gt;5,VLOOKUP(L20,'Clb Q (2)'!I$19:O$23,4,0),"")</f>
        <v>88</v>
      </c>
      <c r="K20" s="169" t="n">
        <f aca="false">IF(INFO!B$8&gt;5,VLOOKUP(L20,'Clb Q (2)'!I$19:O$23,5,0),"")</f>
        <v>91</v>
      </c>
      <c r="L20" s="166" t="n">
        <f aca="false">IF(INFO!B$8&gt;5,LARGE('Clb Q (2)'!I$19:I$23,1),"")</f>
        <v>262.0000091088</v>
      </c>
      <c r="M20" s="157"/>
    </row>
    <row r="21" customFormat="false" ht="22" hidden="false" customHeight="true" outlineLevel="0" collapsed="false">
      <c r="A21" s="162"/>
      <c r="B21" s="166" t="str">
        <f aca="false">IF(INFO!B$8&gt;2,VLOOKUP(F21,'Clb Q (2)'!A$19:G$23,2,0),"")</f>
        <v>DELANGLE CYRILLE</v>
      </c>
      <c r="C21" s="167" t="n">
        <f aca="false">IF(INFO!B$8&gt;2,VLOOKUP(F21,'Clb Q (2)'!A$19:G$23,3,0),"")</f>
        <v>95</v>
      </c>
      <c r="D21" s="168" t="n">
        <f aca="false">IF(INFO!B$8&gt;2,VLOOKUP(F21,'Clb Q (2)'!A$19:G$23,4,0),"")</f>
        <v>86</v>
      </c>
      <c r="E21" s="169" t="n">
        <f aca="false">IF(INFO!B$8&gt;2,VLOOKUP(F21,'Clb Q (2)'!A$19:G$23,5,0),"")</f>
        <v>92</v>
      </c>
      <c r="F21" s="166" t="n">
        <f aca="false">IF(INFO!B$8&gt;2,LARGE('Clb Q (2)'!A$19:A$23,2),"")</f>
        <v>273.0000092086</v>
      </c>
      <c r="G21" s="157"/>
      <c r="H21" s="166" t="str">
        <f aca="false">IF(INFO!B$8&gt;5,VLOOKUP(L21,'Clb Q (2)'!I$19:O$23,2,0),"")</f>
        <v>GONELLY GAETAN</v>
      </c>
      <c r="I21" s="167" t="n">
        <f aca="false">IF(INFO!B$8&gt;5,VLOOKUP(L21,'Clb Q (2)'!I$19:O$23,3,0),"")</f>
        <v>84</v>
      </c>
      <c r="J21" s="168" t="n">
        <f aca="false">IF(INFO!B$8&gt;5,VLOOKUP(L21,'Clb Q (2)'!I$19:O$23,4,0),"")</f>
        <v>88</v>
      </c>
      <c r="K21" s="169" t="n">
        <f aca="false">IF(INFO!B$8&gt;5,VLOOKUP(L21,'Clb Q (2)'!I$19:O$23,5,0),"")</f>
        <v>86</v>
      </c>
      <c r="L21" s="166" t="n">
        <f aca="false">IF(INFO!B$8&gt;5,LARGE('Clb Q (2)'!I$19:I$23,2),"")</f>
        <v>258.0000086088</v>
      </c>
      <c r="M21" s="157"/>
    </row>
    <row r="22" customFormat="false" ht="22" hidden="false" customHeight="true" outlineLevel="0" collapsed="false">
      <c r="A22" s="162"/>
      <c r="B22" s="166" t="str">
        <f aca="false">IF(INFO!B$8&gt;2,VLOOKUP(F22,'Clb Q (2)'!A$19:G$23,2,0),"")</f>
        <v>MILLOTTE ROMAIN</v>
      </c>
      <c r="C22" s="167" t="n">
        <f aca="false">IF(INFO!B$8&gt;2,VLOOKUP(F22,'Clb Q (2)'!A$19:G$23,3,0),"")</f>
        <v>91</v>
      </c>
      <c r="D22" s="168" t="n">
        <f aca="false">IF(INFO!B$8&gt;2,VLOOKUP(F22,'Clb Q (2)'!A$19:G$23,4,0),"")</f>
        <v>90</v>
      </c>
      <c r="E22" s="169" t="n">
        <f aca="false">IF(INFO!B$8&gt;2,VLOOKUP(F22,'Clb Q (2)'!A$19:G$23,5,0),"")</f>
        <v>86</v>
      </c>
      <c r="F22" s="166" t="n">
        <f aca="false">IF(INFO!B$8&gt;2,LARGE('Clb Q (2)'!A$19:A$23,3),"")</f>
        <v>267.000008609</v>
      </c>
      <c r="G22" s="157"/>
      <c r="H22" s="166" t="str">
        <f aca="false">IF(INFO!B$8&gt;5,VLOOKUP(L22,'Clb Q (2)'!I$19:O$23,2,0),"")</f>
        <v>GRAEBLING SOLENA</v>
      </c>
      <c r="I22" s="167" t="n">
        <f aca="false">IF(INFO!B$8&gt;5,VLOOKUP(L22,'Clb Q (2)'!I$19:O$23,3,0),"")</f>
        <v>86</v>
      </c>
      <c r="J22" s="168" t="n">
        <f aca="false">IF(INFO!B$8&gt;5,VLOOKUP(L22,'Clb Q (2)'!I$19:O$23,4,0),"")</f>
        <v>86</v>
      </c>
      <c r="K22" s="169" t="n">
        <f aca="false">IF(INFO!B$8&gt;5,VLOOKUP(L22,'Clb Q (2)'!I$19:O$23,5,0),"")</f>
        <v>83</v>
      </c>
      <c r="L22" s="166" t="n">
        <f aca="false">IF(INFO!B$8&gt;5,LARGE('Clb Q (2)'!I$19:I$23,3),"")</f>
        <v>255.0000083086</v>
      </c>
      <c r="M22" s="157"/>
    </row>
    <row r="23" customFormat="false" ht="22" hidden="false" customHeight="true" outlineLevel="0" collapsed="false">
      <c r="A23" s="162"/>
      <c r="B23" s="166" t="str">
        <f aca="false">IF(INFO!B$8&gt;2,VLOOKUP(F23,'Clb Q (2)'!A$19:G$23,2,0),"")</f>
        <v>DEMANGE ISABELLE</v>
      </c>
      <c r="C23" s="167" t="n">
        <f aca="false">IF(INFO!B$8&gt;2,VLOOKUP(F23,'Clb Q (2)'!A$19:G$23,3,0),"")</f>
        <v>86</v>
      </c>
      <c r="D23" s="168" t="n">
        <f aca="false">IF(INFO!B$8&gt;2,VLOOKUP(F23,'Clb Q (2)'!A$19:G$23,4,0),"")</f>
        <v>79</v>
      </c>
      <c r="E23" s="169" t="n">
        <f aca="false">IF(INFO!B$8&gt;2,VLOOKUP(F23,'Clb Q (2)'!A$19:G$23,5,0),"")</f>
        <v>85</v>
      </c>
      <c r="F23" s="166" t="n">
        <f aca="false">IF(INFO!B$8&gt;2,LARGE('Clb Q (2)'!A$19:A$23,4),"")</f>
        <v>250.0000085079</v>
      </c>
      <c r="G23" s="157"/>
      <c r="H23" s="166" t="str">
        <f aca="false">IF(INFO!B$8&gt;5,VLOOKUP(L23,'Clb Q (2)'!I$19:O$23,2,0),"")</f>
        <v>FOLLIOT JEROME</v>
      </c>
      <c r="I23" s="167" t="n">
        <f aca="false">IF(INFO!B$8&gt;5,VLOOKUP(L23,'Clb Q (2)'!I$19:O$23,3,0),"")</f>
        <v>85</v>
      </c>
      <c r="J23" s="168" t="n">
        <f aca="false">IF(INFO!B$8&gt;5,VLOOKUP(L23,'Clb Q (2)'!I$19:O$23,4,0),"")</f>
        <v>89</v>
      </c>
      <c r="K23" s="169" t="n">
        <f aca="false">IF(INFO!B$8&gt;5,VLOOKUP(L23,'Clb Q (2)'!I$19:O$23,5,0),"")</f>
        <v>81</v>
      </c>
      <c r="L23" s="166" t="n">
        <f aca="false">IF(INFO!B$8&gt;5,LARGE('Clb Q (2)'!I$19:I$23,4),"")</f>
        <v>255.0000081089</v>
      </c>
      <c r="M23" s="157"/>
    </row>
    <row r="24" customFormat="false" ht="22" hidden="false" customHeight="true" outlineLevel="0" collapsed="false">
      <c r="A24" s="162"/>
      <c r="B24" s="170" t="str">
        <f aca="false">IF(INFO!B$8&gt;2,VLOOKUP(F24,'Clb Q (2)'!A$19:G$23,2,0),"")</f>
        <v>COLIN CYRIL</v>
      </c>
      <c r="C24" s="159" t="n">
        <f aca="false">IF(INFO!B$8&gt;2,VLOOKUP(F24,'Clb Q (2)'!A$19:G$23,3,0),"")</f>
        <v>80</v>
      </c>
      <c r="D24" s="171" t="n">
        <f aca="false">IF(INFO!B$8&gt;2,VLOOKUP(F24,'Clb Q (2)'!A$19:G$23,4,0),"")</f>
        <v>75</v>
      </c>
      <c r="E24" s="172" t="n">
        <f aca="false">IF(INFO!B$8&gt;2,VLOOKUP(F24,'Clb Q (2)'!A$19:G$23,5,0),"")</f>
        <v>81</v>
      </c>
      <c r="F24" s="170" t="n">
        <f aca="false">IF(INFO!B$8&gt;2,LARGE('Clb Q (2)'!A$19:A$23,5),"")</f>
        <v>236.0000081075</v>
      </c>
      <c r="G24" s="157"/>
      <c r="H24" s="170" t="str">
        <f aca="false">IF(INFO!B$8&gt;5,VLOOKUP(L24,'Clb Q (2)'!I$19:O$23,2,0),"")</f>
        <v>SIMONETTI FLORENT</v>
      </c>
      <c r="I24" s="159" t="n">
        <f aca="false">IF(INFO!B$8&gt;5,VLOOKUP(L24,'Clb Q (2)'!I$19:O$23,3,0),"")</f>
        <v>83</v>
      </c>
      <c r="J24" s="171" t="n">
        <f aca="false">IF(INFO!B$8&gt;5,VLOOKUP(L24,'Clb Q (2)'!I$19:O$23,4,0),"")</f>
        <v>77</v>
      </c>
      <c r="K24" s="172" t="n">
        <f aca="false">IF(INFO!B$8&gt;5,VLOOKUP(L24,'Clb Q (2)'!I$19:O$23,5,0),"")</f>
        <v>89</v>
      </c>
      <c r="L24" s="170" t="n">
        <f aca="false">IF(INFO!B$8&gt;5,LARGE('Clb Q (2)'!I$19:I$23,5),"")</f>
        <v>249.0000089077</v>
      </c>
      <c r="M24" s="157"/>
    </row>
    <row r="25" customFormat="false" ht="22" hidden="false" customHeight="true" outlineLevel="0" collapsed="false">
      <c r="A25" s="149"/>
      <c r="B25" s="173"/>
      <c r="C25" s="157"/>
      <c r="D25" s="157"/>
      <c r="E25" s="157"/>
      <c r="F25" s="173"/>
      <c r="G25" s="157"/>
      <c r="H25" s="173"/>
      <c r="I25" s="157"/>
      <c r="J25" s="157"/>
      <c r="K25" s="157"/>
      <c r="L25" s="173"/>
      <c r="M25" s="157"/>
    </row>
    <row r="26" customFormat="false" ht="22" hidden="false" customHeight="true" outlineLevel="0" collapsed="false">
      <c r="A26" s="149"/>
      <c r="B26" s="161" t="str">
        <f aca="false">IF(INFO!B8&gt;3,"CLUB N°4","")</f>
        <v>CLUB N°4</v>
      </c>
      <c r="C26" s="159" t="str">
        <f aca="false">IF(INFO!B8&gt;3,'Clb Q (2)'!C25,"")</f>
        <v>NEUFCHATEAU</v>
      </c>
      <c r="D26" s="159"/>
      <c r="E26" s="159"/>
      <c r="F26" s="160" t="n">
        <f aca="false">IF(INFO!B8&gt;3,'Clb Q (2)'!F25,"")</f>
        <v>1292</v>
      </c>
      <c r="G26" s="157"/>
      <c r="H26" s="161" t="str">
        <f aca="false">IF(INFO!B8&gt;4,"CLUB N°5","")</f>
        <v>CLUB N°5</v>
      </c>
      <c r="I26" s="159" t="str">
        <f aca="false">IF(INFO!B8&gt;4,'Clb Q (2)'!K25,"")</f>
        <v>PLOMBIERES</v>
      </c>
      <c r="J26" s="159"/>
      <c r="K26" s="159"/>
      <c r="L26" s="160" t="n">
        <f aca="false">IF(INFO!B8&gt;4,'Clb Q (2)'!N25,"")</f>
        <v>1279</v>
      </c>
      <c r="M26" s="157"/>
    </row>
    <row r="27" customFormat="false" ht="22" hidden="false" customHeight="true" outlineLevel="0" collapsed="false">
      <c r="A27" s="162"/>
      <c r="B27" s="161" t="s">
        <v>104</v>
      </c>
      <c r="C27" s="163" t="s">
        <v>105</v>
      </c>
      <c r="D27" s="164" t="s">
        <v>106</v>
      </c>
      <c r="E27" s="165" t="s">
        <v>107</v>
      </c>
      <c r="F27" s="161" t="s">
        <v>108</v>
      </c>
      <c r="G27" s="157"/>
      <c r="H27" s="161" t="s">
        <v>104</v>
      </c>
      <c r="I27" s="163" t="s">
        <v>105</v>
      </c>
      <c r="J27" s="164" t="s">
        <v>106</v>
      </c>
      <c r="K27" s="165" t="s">
        <v>107</v>
      </c>
      <c r="L27" s="161" t="s">
        <v>108</v>
      </c>
      <c r="M27" s="157"/>
    </row>
    <row r="28" customFormat="false" ht="22" hidden="false" customHeight="true" outlineLevel="0" collapsed="false">
      <c r="A28" s="162"/>
      <c r="B28" s="166" t="str">
        <f aca="false">IF(INFO!B$8&gt;3,VLOOKUP(F28,'Clb Q (2)'!A$27:G$31,2,0),"")</f>
        <v>SOLER JOSE</v>
      </c>
      <c r="C28" s="167" t="n">
        <f aca="false">IF(INFO!B$8&gt;3,VLOOKUP(F28,'Clb Q (2)'!A$27:G$31,3,0),"")</f>
        <v>91</v>
      </c>
      <c r="D28" s="168" t="n">
        <f aca="false">IF(INFO!B$8&gt;3,VLOOKUP(F28,'Clb Q (2)'!A$27:G$31,4,0),"")</f>
        <v>88</v>
      </c>
      <c r="E28" s="169" t="n">
        <f aca="false">IF(INFO!B$8&gt;3,VLOOKUP(F28,'Clb Q (2)'!A$27:G$31,5,0),"")</f>
        <v>90</v>
      </c>
      <c r="F28" s="166" t="n">
        <f aca="false">IF(INFO!B$8&gt;3,LARGE('Clb Q (2)'!A$27:A$31,1),"")</f>
        <v>269.0000090088</v>
      </c>
      <c r="G28" s="157"/>
      <c r="H28" s="166" t="str">
        <f aca="false">IF(INFO!B$8&gt;4,VLOOKUP(L28,'Clb Q (2)'!I$27:O$31,2,0),"")</f>
        <v>MARIN ANTONIN</v>
      </c>
      <c r="I28" s="167" t="n">
        <f aca="false">IF(INFO!B$8&gt;4,VLOOKUP(L28,'Clb Q (2)'!I$27:O$31,3,0),"")</f>
        <v>93</v>
      </c>
      <c r="J28" s="168" t="n">
        <f aca="false">IF(INFO!B$8&gt;4,VLOOKUP(L28,'Clb Q (2)'!I$27:O$31,4,0),"")</f>
        <v>90</v>
      </c>
      <c r="K28" s="169" t="n">
        <f aca="false">IF(INFO!B$8&gt;4,VLOOKUP(L28,'Clb Q (2)'!I$27:O$31,5,0),"")</f>
        <v>95</v>
      </c>
      <c r="L28" s="166" t="n">
        <f aca="false">IF(INFO!B$8&gt;4,LARGE('Clb Q (2)'!I$27:I$31,1),"")</f>
        <v>278.000009509</v>
      </c>
      <c r="M28" s="157"/>
    </row>
    <row r="29" customFormat="false" ht="22" hidden="false" customHeight="true" outlineLevel="0" collapsed="false">
      <c r="A29" s="162"/>
      <c r="B29" s="166" t="str">
        <f aca="false">IF(INFO!B$8&gt;3,VLOOKUP(F29,'Clb Q (2)'!A$27:G$31,2,0),"")</f>
        <v>SERRANO FREDERIC</v>
      </c>
      <c r="C29" s="167" t="n">
        <f aca="false">IF(INFO!B$8&gt;3,VLOOKUP(F29,'Clb Q (2)'!A$27:G$31,3,0),"")</f>
        <v>93</v>
      </c>
      <c r="D29" s="168" t="n">
        <f aca="false">IF(INFO!B$8&gt;3,VLOOKUP(F29,'Clb Q (2)'!A$27:G$31,4,0),"")</f>
        <v>87</v>
      </c>
      <c r="E29" s="169" t="n">
        <f aca="false">IF(INFO!B$8&gt;3,VLOOKUP(F29,'Clb Q (2)'!A$27:G$31,5,0),"")</f>
        <v>88</v>
      </c>
      <c r="F29" s="166" t="n">
        <f aca="false">IF(INFO!B$8&gt;3,LARGE('Clb Q (2)'!A$27:A$31,2),"")</f>
        <v>268.0000088087</v>
      </c>
      <c r="G29" s="157"/>
      <c r="H29" s="166" t="str">
        <f aca="false">IF(INFO!B$8&gt;4,VLOOKUP(L29,'Clb Q (2)'!I$27:O$31,2,0),"")</f>
        <v>MARIN JEROME</v>
      </c>
      <c r="I29" s="167" t="n">
        <f aca="false">IF(INFO!B$8&gt;4,VLOOKUP(L29,'Clb Q (2)'!I$27:O$31,3,0),"")</f>
        <v>92</v>
      </c>
      <c r="J29" s="168" t="n">
        <f aca="false">IF(INFO!B$8&gt;4,VLOOKUP(L29,'Clb Q (2)'!I$27:O$31,4,0),"")</f>
        <v>91</v>
      </c>
      <c r="K29" s="169" t="n">
        <f aca="false">IF(INFO!B$8&gt;4,VLOOKUP(L29,'Clb Q (2)'!I$27:O$31,5,0),"")</f>
        <v>89</v>
      </c>
      <c r="L29" s="166" t="n">
        <f aca="false">IF(INFO!B$8&gt;4,LARGE('Clb Q (2)'!I$27:I$31,2),"")</f>
        <v>272.0000089091</v>
      </c>
      <c r="M29" s="157"/>
    </row>
    <row r="30" customFormat="false" ht="22" hidden="false" customHeight="true" outlineLevel="0" collapsed="false">
      <c r="A30" s="162"/>
      <c r="B30" s="166" t="str">
        <f aca="false">IF(INFO!B$8&gt;3,VLOOKUP(F30,'Clb Q (2)'!A$27:G$31,2,0),"")</f>
        <v>BRION-BOGARD SANDRINE</v>
      </c>
      <c r="C30" s="167" t="n">
        <f aca="false">IF(INFO!B$8&gt;3,VLOOKUP(F30,'Clb Q (2)'!A$27:G$31,3,0),"")</f>
        <v>94</v>
      </c>
      <c r="D30" s="168" t="n">
        <f aca="false">IF(INFO!B$8&gt;3,VLOOKUP(F30,'Clb Q (2)'!A$27:G$31,4,0),"")</f>
        <v>88</v>
      </c>
      <c r="E30" s="169" t="n">
        <f aca="false">IF(INFO!B$8&gt;3,VLOOKUP(F30,'Clb Q (2)'!A$27:G$31,5,0),"")</f>
        <v>84</v>
      </c>
      <c r="F30" s="166" t="n">
        <f aca="false">IF(INFO!B$8&gt;3,LARGE('Clb Q (2)'!A$27:A$31,3),"")</f>
        <v>266.0000084088</v>
      </c>
      <c r="G30" s="157"/>
      <c r="H30" s="166" t="str">
        <f aca="false">IF(INFO!B$8&gt;4,VLOOKUP(L30,'Clb Q (2)'!I$27:O$31,2,0),"")</f>
        <v>AUBRY CEDRIC</v>
      </c>
      <c r="I30" s="167" t="n">
        <f aca="false">IF(INFO!B$8&gt;4,VLOOKUP(L30,'Clb Q (2)'!I$27:O$31,3,0),"")</f>
        <v>82</v>
      </c>
      <c r="J30" s="168" t="n">
        <f aca="false">IF(INFO!B$8&gt;4,VLOOKUP(L30,'Clb Q (2)'!I$27:O$31,4,0),"")</f>
        <v>86</v>
      </c>
      <c r="K30" s="169" t="n">
        <f aca="false">IF(INFO!B$8&gt;4,VLOOKUP(L30,'Clb Q (2)'!I$27:O$31,5,0),"")</f>
        <v>92</v>
      </c>
      <c r="L30" s="166" t="n">
        <f aca="false">IF(INFO!B$8&gt;4,LARGE('Clb Q (2)'!I$27:I$31,3),"")</f>
        <v>260.0000092086</v>
      </c>
      <c r="M30" s="157"/>
    </row>
    <row r="31" customFormat="false" ht="22" hidden="false" customHeight="true" outlineLevel="0" collapsed="false">
      <c r="A31" s="162"/>
      <c r="B31" s="166" t="str">
        <f aca="false">IF(INFO!B$8&gt;3,VLOOKUP(F31,'Clb Q (2)'!A$27:G$31,2,0),"")</f>
        <v>CALME ROMAIN</v>
      </c>
      <c r="C31" s="167" t="n">
        <f aca="false">IF(INFO!B$8&gt;3,VLOOKUP(F31,'Clb Q (2)'!A$27:G$31,3,0),"")</f>
        <v>85</v>
      </c>
      <c r="D31" s="168" t="n">
        <f aca="false">IF(INFO!B$8&gt;3,VLOOKUP(F31,'Clb Q (2)'!A$27:G$31,4,0),"")</f>
        <v>85</v>
      </c>
      <c r="E31" s="169" t="n">
        <f aca="false">IF(INFO!B$8&gt;3,VLOOKUP(F31,'Clb Q (2)'!A$27:G$31,5,0),"")</f>
        <v>84</v>
      </c>
      <c r="F31" s="166" t="n">
        <f aca="false">IF(INFO!B$8&gt;3,LARGE('Clb Q (2)'!A$27:A$31,4),"")</f>
        <v>254.0000084085</v>
      </c>
      <c r="G31" s="157"/>
      <c r="H31" s="166" t="str">
        <f aca="false">IF(INFO!B$8&gt;4,VLOOKUP(L31,'Clb Q (2)'!I$27:O$31,2,0),"")</f>
        <v>JORAND DANIEL</v>
      </c>
      <c r="I31" s="167" t="n">
        <f aca="false">IF(INFO!B$8&gt;4,VLOOKUP(L31,'Clb Q (2)'!I$27:O$31,3,0),"")</f>
        <v>85</v>
      </c>
      <c r="J31" s="168" t="n">
        <f aca="false">IF(INFO!B$8&gt;4,VLOOKUP(L31,'Clb Q (2)'!I$27:O$31,4,0),"")</f>
        <v>84</v>
      </c>
      <c r="K31" s="169" t="n">
        <f aca="false">IF(INFO!B$8&gt;4,VLOOKUP(L31,'Clb Q (2)'!I$27:O$31,5,0),"")</f>
        <v>85</v>
      </c>
      <c r="L31" s="166" t="n">
        <f aca="false">IF(INFO!B$8&gt;4,LARGE('Clb Q (2)'!I$27:I$31,4),"")</f>
        <v>254.0000085084</v>
      </c>
      <c r="M31" s="157"/>
    </row>
    <row r="32" customFormat="false" ht="22" hidden="false" customHeight="true" outlineLevel="0" collapsed="false">
      <c r="A32" s="162"/>
      <c r="B32" s="170" t="str">
        <f aca="false">IF(INFO!B$8&gt;3,VLOOKUP(F32,'Clb Q (2)'!A$27:G$31,2,0),"")</f>
        <v>WILLEMIN LUDOVIC</v>
      </c>
      <c r="C32" s="159" t="n">
        <f aca="false">IF(INFO!B$8&gt;3,VLOOKUP(F32,'Clb Q (2)'!A$27:G$31,3,0),"")</f>
        <v>86</v>
      </c>
      <c r="D32" s="171" t="n">
        <f aca="false">IF(INFO!B$8&gt;3,VLOOKUP(F32,'Clb Q (2)'!A$27:G$31,4,0),"")</f>
        <v>75</v>
      </c>
      <c r="E32" s="172" t="n">
        <f aca="false">IF(INFO!B$8&gt;3,VLOOKUP(F32,'Clb Q (2)'!A$27:G$31,5,0),"")</f>
        <v>74</v>
      </c>
      <c r="F32" s="170" t="n">
        <f aca="false">IF(INFO!B$8&gt;3,LARGE('Clb Q (2)'!A$27:A$31,5),"")</f>
        <v>235.0000074075</v>
      </c>
      <c r="G32" s="157"/>
      <c r="H32" s="170" t="str">
        <f aca="false">IF(INFO!B$8&gt;4,VLOOKUP(L32,'Clb Q (2)'!I$27:O$31,2,0),"")</f>
        <v>DERBESSE BASTIEN</v>
      </c>
      <c r="I32" s="159" t="n">
        <f aca="false">IF(INFO!B$8&gt;4,VLOOKUP(L32,'Clb Q (2)'!I$27:O$31,3,0),"")</f>
        <v>63</v>
      </c>
      <c r="J32" s="171" t="n">
        <f aca="false">IF(INFO!B$8&gt;4,VLOOKUP(L32,'Clb Q (2)'!I$27:O$31,4,0),"")</f>
        <v>73</v>
      </c>
      <c r="K32" s="172" t="n">
        <f aca="false">IF(INFO!B$8&gt;4,VLOOKUP(L32,'Clb Q (2)'!I$27:O$31,5,0),"")</f>
        <v>79</v>
      </c>
      <c r="L32" s="170" t="n">
        <f aca="false">IF(INFO!B$8&gt;4,LARGE('Clb Q (2)'!I$27:I$31,5),"")</f>
        <v>215.0000079073</v>
      </c>
      <c r="M32" s="157"/>
    </row>
  </sheetData>
  <sheetProtection sheet="true" password="cf6d" objects="true" scenarios="true" formatColumns="false" selectLockedCells="true" selectUnlockedCells="true"/>
  <mergeCells count="9">
    <mergeCell ref="B1:L1"/>
    <mergeCell ref="C2:E2"/>
    <mergeCell ref="I2:K2"/>
    <mergeCell ref="C10:E10"/>
    <mergeCell ref="I10:K10"/>
    <mergeCell ref="C18:E18"/>
    <mergeCell ref="I18:K18"/>
    <mergeCell ref="C26:E26"/>
    <mergeCell ref="I26:K26"/>
  </mergeCells>
  <conditionalFormatting sqref="A1:AMJ1048576">
    <cfRule type="cellIs" priority="2" operator="equal" aboveAverage="0" equalAverage="0" bottom="0" percent="0" rank="0" text="" dxfId="7">
      <formula>0</formula>
    </cfRule>
    <cfRule type="containsErrors" priority="3" aboveAverage="0" equalAverage="0" bottom="0" percent="0" rank="0" text="" dxfId="8">
      <formula>ISERROR(A1)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7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M74" activeCellId="1" sqref="E12:E16 M74"/>
    </sheetView>
  </sheetViews>
  <sheetFormatPr defaultRowHeight="28" zeroHeight="false" outlineLevelRow="1" outlineLevelCol="0"/>
  <cols>
    <col collapsed="false" customWidth="true" hidden="false" outlineLevel="0" max="2" min="1" style="175" width="8.17"/>
    <col collapsed="false" customWidth="true" hidden="false" outlineLevel="0" max="3" min="3" style="175" width="10.66"/>
    <col collapsed="false" customWidth="true" hidden="false" outlineLevel="0" max="5" min="4" style="175" width="8.17"/>
    <col collapsed="false" customWidth="true" hidden="false" outlineLevel="0" max="7" min="6" style="175" width="6.66"/>
    <col collapsed="false" customWidth="true" hidden="false" outlineLevel="0" max="9" min="8" style="175" width="8.17"/>
    <col collapsed="false" customWidth="true" hidden="false" outlineLevel="0" max="10" min="10" style="175" width="10.66"/>
    <col collapsed="false" customWidth="true" hidden="false" outlineLevel="0" max="12" min="11" style="175" width="6.66"/>
    <col collapsed="false" customWidth="true" hidden="false" outlineLevel="0" max="13" min="13" style="175" width="10.66"/>
    <col collapsed="false" customWidth="true" hidden="false" outlineLevel="0" max="15" min="14" style="175" width="8.17"/>
    <col collapsed="false" customWidth="true" hidden="false" outlineLevel="0" max="17" min="16" style="175" width="6.66"/>
    <col collapsed="false" customWidth="true" hidden="false" outlineLevel="0" max="19" min="18" style="175" width="8.17"/>
    <col collapsed="false" customWidth="true" hidden="false" outlineLevel="0" max="20" min="20" style="175" width="10.66"/>
    <col collapsed="false" customWidth="true" hidden="false" outlineLevel="0" max="1025" min="21" style="175" width="8.17"/>
  </cols>
  <sheetData>
    <row r="1" customFormat="false" ht="29" hidden="false" customHeight="true" outlineLevel="0" collapsed="false"/>
    <row r="2" customFormat="false" ht="62" hidden="false" customHeight="false" outlineLevel="0" collapsed="false">
      <c r="B2" s="176" t="str">
        <f aca="false">CONCATENATE(INFO!B7," - ",INFO!B9)</f>
        <v>PISTOLET - LORRAINE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customFormat="false" ht="29" hidden="false" customHeight="true" outlineLevel="0" collapsed="false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customFormat="false" ht="60" hidden="false" customHeight="true" outlineLevel="0" collapsed="false">
      <c r="B4" s="178" t="s">
        <v>111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="179" customFormat="true" ht="28" hidden="false" customHeight="true" outlineLevel="0" collapsed="false">
      <c r="C5" s="180" t="str">
        <f aca="false">'Clb Q'!C2</f>
        <v>THAON</v>
      </c>
      <c r="D5" s="180"/>
      <c r="E5" s="180"/>
      <c r="F5" s="181" t="s">
        <v>25</v>
      </c>
      <c r="G5" s="181"/>
      <c r="H5" s="180" t="str">
        <f aca="false">'Clb Q'!I2</f>
        <v>RAMBERVILLERS</v>
      </c>
      <c r="I5" s="180"/>
      <c r="J5" s="180"/>
      <c r="K5" s="182"/>
      <c r="M5" s="180" t="str">
        <f aca="false">'Clb Q'!C18</f>
        <v>REMIREMONT</v>
      </c>
      <c r="N5" s="180"/>
      <c r="O5" s="180"/>
      <c r="P5" s="181" t="s">
        <v>25</v>
      </c>
      <c r="Q5" s="181"/>
      <c r="R5" s="180" t="str">
        <f aca="false">'Clb Q'!I18</f>
        <v>EPINAL</v>
      </c>
      <c r="S5" s="180"/>
      <c r="T5" s="180"/>
    </row>
    <row r="6" s="183" customFormat="true" ht="22" hidden="false" customHeight="true" outlineLevel="1" collapsed="false">
      <c r="C6" s="184" t="str">
        <f aca="false">'Clb Q'!B4</f>
        <v>TABOUREUX ADRIEN</v>
      </c>
      <c r="D6" s="184"/>
      <c r="E6" s="184"/>
      <c r="F6" s="185" t="n">
        <v>1</v>
      </c>
      <c r="G6" s="186" t="n">
        <v>2</v>
      </c>
      <c r="H6" s="184" t="str">
        <f aca="false">'Clb Q'!H4</f>
        <v>VIMEUX JORDAN</v>
      </c>
      <c r="I6" s="184"/>
      <c r="J6" s="184"/>
      <c r="K6" s="187"/>
      <c r="M6" s="184" t="str">
        <f aca="false">'Clb Q'!B20</f>
        <v>BERTRAND GEO</v>
      </c>
      <c r="N6" s="184"/>
      <c r="O6" s="184"/>
      <c r="P6" s="185" t="n">
        <v>1</v>
      </c>
      <c r="Q6" s="186" t="n">
        <v>2</v>
      </c>
      <c r="R6" s="184" t="str">
        <f aca="false">'Clb Q'!H20</f>
        <v>BRIQUE ZACCHARY</v>
      </c>
      <c r="S6" s="184"/>
      <c r="T6" s="184"/>
    </row>
    <row r="7" s="183" customFormat="true" ht="22" hidden="false" customHeight="true" outlineLevel="1" collapsed="false">
      <c r="C7" s="184" t="str">
        <f aca="false">'Clb Q'!B5</f>
        <v>TABOUREUX CHRISTOPHE</v>
      </c>
      <c r="D7" s="184"/>
      <c r="E7" s="184"/>
      <c r="F7" s="188" t="n">
        <v>3</v>
      </c>
      <c r="G7" s="189" t="n">
        <v>4</v>
      </c>
      <c r="H7" s="184" t="str">
        <f aca="false">'Clb Q'!H5</f>
        <v>VAIREL LOUIS</v>
      </c>
      <c r="I7" s="184"/>
      <c r="J7" s="184"/>
      <c r="K7" s="187"/>
      <c r="M7" s="184" t="str">
        <f aca="false">'Clb Q'!B21</f>
        <v>DELANGLE CYRILLE</v>
      </c>
      <c r="N7" s="184"/>
      <c r="O7" s="184"/>
      <c r="P7" s="188" t="n">
        <v>3</v>
      </c>
      <c r="Q7" s="189" t="n">
        <v>4</v>
      </c>
      <c r="R7" s="184" t="str">
        <f aca="false">'Clb Q'!H21</f>
        <v>GONELLY GAETAN</v>
      </c>
      <c r="S7" s="184"/>
      <c r="T7" s="184"/>
    </row>
    <row r="8" s="183" customFormat="true" ht="22" hidden="false" customHeight="true" outlineLevel="1" collapsed="false">
      <c r="C8" s="184" t="str">
        <f aca="false">'Clb Q'!B6</f>
        <v>PARISSE ALEXANDRE</v>
      </c>
      <c r="D8" s="184"/>
      <c r="E8" s="184"/>
      <c r="F8" s="188" t="n">
        <v>5</v>
      </c>
      <c r="G8" s="189" t="n">
        <v>6</v>
      </c>
      <c r="H8" s="184" t="str">
        <f aca="false">'Clb Q'!H6</f>
        <v>POIROT JEAN-MARIE</v>
      </c>
      <c r="I8" s="184"/>
      <c r="J8" s="184"/>
      <c r="K8" s="187"/>
      <c r="M8" s="184" t="str">
        <f aca="false">'Clb Q'!B22</f>
        <v>MILLOTTE ROMAIN</v>
      </c>
      <c r="N8" s="184"/>
      <c r="O8" s="184"/>
      <c r="P8" s="188" t="n">
        <v>5</v>
      </c>
      <c r="Q8" s="189" t="n">
        <v>6</v>
      </c>
      <c r="R8" s="184" t="str">
        <f aca="false">'Clb Q'!H22</f>
        <v>GRAEBLING SOLENA</v>
      </c>
      <c r="S8" s="184"/>
      <c r="T8" s="184"/>
    </row>
    <row r="9" s="183" customFormat="true" ht="22" hidden="false" customHeight="true" outlineLevel="1" collapsed="false">
      <c r="C9" s="184" t="str">
        <f aca="false">'Clb Q'!B7</f>
        <v>TABOUREUX ANNE</v>
      </c>
      <c r="D9" s="184"/>
      <c r="E9" s="184"/>
      <c r="F9" s="188" t="n">
        <v>7</v>
      </c>
      <c r="G9" s="189" t="n">
        <v>8</v>
      </c>
      <c r="H9" s="184" t="str">
        <f aca="false">'Clb Q'!H7</f>
        <v>LALLEMAND AUGUSTIN</v>
      </c>
      <c r="I9" s="184"/>
      <c r="J9" s="184"/>
      <c r="K9" s="187"/>
      <c r="M9" s="184" t="str">
        <f aca="false">'Clb Q'!B23</f>
        <v>DEMANGE ISABELLE</v>
      </c>
      <c r="N9" s="184"/>
      <c r="O9" s="184"/>
      <c r="P9" s="188" t="n">
        <v>7</v>
      </c>
      <c r="Q9" s="189" t="n">
        <v>8</v>
      </c>
      <c r="R9" s="184" t="str">
        <f aca="false">'Clb Q'!H23</f>
        <v>FOLLIOT JEROME</v>
      </c>
      <c r="S9" s="184"/>
      <c r="T9" s="184"/>
    </row>
    <row r="10" s="183" customFormat="true" ht="22" hidden="false" customHeight="true" outlineLevel="1" collapsed="false">
      <c r="C10" s="184" t="str">
        <f aca="false">'Clb Q'!B8</f>
        <v>FRAYARD LAURENCE</v>
      </c>
      <c r="D10" s="184"/>
      <c r="E10" s="184"/>
      <c r="F10" s="190" t="n">
        <v>9</v>
      </c>
      <c r="G10" s="191" t="n">
        <v>10</v>
      </c>
      <c r="H10" s="184" t="str">
        <f aca="false">'Clb Q'!H8</f>
        <v>AUBRY GERALD</v>
      </c>
      <c r="I10" s="184"/>
      <c r="J10" s="184"/>
      <c r="K10" s="187"/>
      <c r="M10" s="184" t="str">
        <f aca="false">'Clb Q'!B24</f>
        <v>COLIN CYRIL</v>
      </c>
      <c r="N10" s="184"/>
      <c r="O10" s="184"/>
      <c r="P10" s="190" t="n">
        <v>9</v>
      </c>
      <c r="Q10" s="191" t="n">
        <v>10</v>
      </c>
      <c r="R10" s="184" t="str">
        <f aca="false">'Clb Q'!H24</f>
        <v>SIMONETTI FLORENT</v>
      </c>
      <c r="S10" s="184"/>
      <c r="T10" s="184"/>
    </row>
    <row r="11" customFormat="false" ht="22" hidden="false" customHeight="true" outlineLevel="0" collapsed="false">
      <c r="B11" s="192" t="n">
        <f aca="false">IF(E11="","",IF(E11&gt;2,1,0))</f>
        <v>1</v>
      </c>
      <c r="C11" s="193" t="n">
        <f aca="false">IF(E11="","",SUM(B11:B17))</f>
        <v>4</v>
      </c>
      <c r="D11" s="193"/>
      <c r="E11" s="194" t="n">
        <v>3</v>
      </c>
      <c r="F11" s="195"/>
      <c r="G11" s="195"/>
      <c r="H11" s="194" t="n">
        <v>2</v>
      </c>
      <c r="I11" s="196" t="n">
        <f aca="false">IF(H11="","",SUM(K11:K17))</f>
        <v>1</v>
      </c>
      <c r="J11" s="196"/>
      <c r="K11" s="197" t="n">
        <f aca="false">IF(H11="","",IF(H11&gt;2,1,0))</f>
        <v>0</v>
      </c>
      <c r="L11" s="192" t="n">
        <f aca="false">IF(O11="","",IF(O11&gt;2,1,0))</f>
        <v>0</v>
      </c>
      <c r="M11" s="193" t="n">
        <f aca="false">IF(O11="","",SUM(L11:L17))</f>
        <v>0</v>
      </c>
      <c r="N11" s="193"/>
      <c r="O11" s="194" t="n">
        <v>2</v>
      </c>
      <c r="P11" s="195"/>
      <c r="Q11" s="195"/>
      <c r="R11" s="194" t="n">
        <v>3</v>
      </c>
      <c r="S11" s="196" t="n">
        <f aca="false">IF(R11="","",SUM(U11:U17))</f>
        <v>4</v>
      </c>
      <c r="T11" s="196"/>
      <c r="U11" s="197" t="n">
        <f aca="false">IF(R11="","",IF(R11&gt;2,1,0))</f>
        <v>1</v>
      </c>
      <c r="V11" s="198"/>
    </row>
    <row r="12" customFormat="false" ht="22" hidden="false" customHeight="true" outlineLevel="0" collapsed="false">
      <c r="B12" s="192" t="n">
        <f aca="false">IF(E12="","",IF(E12&gt;2,1,0))</f>
        <v>1</v>
      </c>
      <c r="C12" s="193"/>
      <c r="D12" s="193"/>
      <c r="E12" s="199" t="n">
        <v>3</v>
      </c>
      <c r="F12" s="200"/>
      <c r="G12" s="200"/>
      <c r="H12" s="199" t="n">
        <v>2</v>
      </c>
      <c r="I12" s="196"/>
      <c r="J12" s="196"/>
      <c r="K12" s="197" t="n">
        <f aca="false">IF(H12="","",IF(H12&gt;2,1,0))</f>
        <v>0</v>
      </c>
      <c r="L12" s="192" t="n">
        <f aca="false">IF(O12="","",IF(O12&gt;2,1,0))</f>
        <v>0</v>
      </c>
      <c r="M12" s="193"/>
      <c r="N12" s="193"/>
      <c r="O12" s="199" t="n">
        <v>2</v>
      </c>
      <c r="P12" s="200"/>
      <c r="Q12" s="200"/>
      <c r="R12" s="199" t="n">
        <v>3</v>
      </c>
      <c r="S12" s="196"/>
      <c r="T12" s="196"/>
      <c r="U12" s="197" t="n">
        <f aca="false">IF(R12="","",IF(R12&gt;2,1,0))</f>
        <v>1</v>
      </c>
      <c r="V12" s="198"/>
    </row>
    <row r="13" customFormat="false" ht="22" hidden="false" customHeight="true" outlineLevel="0" collapsed="false">
      <c r="B13" s="192" t="n">
        <f aca="false">IF(E13="","",IF(E13&gt;2,1,0))</f>
        <v>1</v>
      </c>
      <c r="C13" s="193"/>
      <c r="D13" s="193"/>
      <c r="E13" s="199" t="n">
        <v>5</v>
      </c>
      <c r="F13" s="200"/>
      <c r="G13" s="200"/>
      <c r="H13" s="199" t="n">
        <v>0</v>
      </c>
      <c r="I13" s="196"/>
      <c r="J13" s="196"/>
      <c r="K13" s="197" t="n">
        <f aca="false">IF(H13="","",IF(H13&gt;2,1,0))</f>
        <v>0</v>
      </c>
      <c r="L13" s="192" t="n">
        <f aca="false">IF(O13="","",IF(O13&gt;2,1,0))</f>
        <v>0</v>
      </c>
      <c r="M13" s="193"/>
      <c r="N13" s="193"/>
      <c r="O13" s="199" t="n">
        <v>1</v>
      </c>
      <c r="P13" s="200"/>
      <c r="Q13" s="200"/>
      <c r="R13" s="199" t="n">
        <v>4</v>
      </c>
      <c r="S13" s="196"/>
      <c r="T13" s="196"/>
      <c r="U13" s="197" t="n">
        <f aca="false">IF(R13="","",IF(R13&gt;2,1,0))</f>
        <v>1</v>
      </c>
      <c r="V13" s="198"/>
    </row>
    <row r="14" customFormat="false" ht="22" hidden="false" customHeight="true" outlineLevel="0" collapsed="false">
      <c r="B14" s="192" t="n">
        <f aca="false">IF(E14="","",IF(E14&gt;2,1,0))</f>
        <v>0</v>
      </c>
      <c r="C14" s="193"/>
      <c r="D14" s="193"/>
      <c r="E14" s="199" t="n">
        <v>2</v>
      </c>
      <c r="F14" s="200"/>
      <c r="G14" s="200"/>
      <c r="H14" s="199" t="n">
        <v>3</v>
      </c>
      <c r="I14" s="196"/>
      <c r="J14" s="196"/>
      <c r="K14" s="197" t="n">
        <f aca="false">IF(H14="","",IF(H14&gt;2,1,0))</f>
        <v>1</v>
      </c>
      <c r="L14" s="192" t="n">
        <f aca="false">IF(O14="","",IF(O14&gt;2,1,0))</f>
        <v>0</v>
      </c>
      <c r="M14" s="193"/>
      <c r="N14" s="193"/>
      <c r="O14" s="199" t="n">
        <v>2</v>
      </c>
      <c r="P14" s="200"/>
      <c r="Q14" s="200"/>
      <c r="R14" s="199" t="n">
        <v>3</v>
      </c>
      <c r="S14" s="196"/>
      <c r="T14" s="196"/>
      <c r="U14" s="197" t="n">
        <f aca="false">IF(R14="","",IF(R14&gt;2,1,0))</f>
        <v>1</v>
      </c>
      <c r="V14" s="198"/>
    </row>
    <row r="15" customFormat="false" ht="22" hidden="false" customHeight="true" outlineLevel="0" collapsed="false">
      <c r="B15" s="192" t="n">
        <f aca="false">IF(E15="","",IF(E15&gt;2,1,0))</f>
        <v>1</v>
      </c>
      <c r="C15" s="193"/>
      <c r="D15" s="193"/>
      <c r="E15" s="199" t="n">
        <v>3</v>
      </c>
      <c r="F15" s="200"/>
      <c r="G15" s="200"/>
      <c r="H15" s="199" t="n">
        <v>2</v>
      </c>
      <c r="I15" s="196"/>
      <c r="J15" s="196"/>
      <c r="K15" s="197" t="n">
        <f aca="false">IF(H15="","",IF(H15&gt;2,1,0))</f>
        <v>0</v>
      </c>
      <c r="L15" s="192" t="str">
        <f aca="false">IF(O15="","",IF(O15&gt;2,1,0))</f>
        <v/>
      </c>
      <c r="M15" s="193"/>
      <c r="N15" s="193"/>
      <c r="O15" s="199"/>
      <c r="P15" s="200"/>
      <c r="Q15" s="200"/>
      <c r="R15" s="199"/>
      <c r="S15" s="196"/>
      <c r="T15" s="196"/>
      <c r="U15" s="197" t="str">
        <f aca="false">IF(R15="","",IF(R15&gt;2,1,0))</f>
        <v/>
      </c>
      <c r="V15" s="198"/>
    </row>
    <row r="16" customFormat="false" ht="22" hidden="false" customHeight="true" outlineLevel="0" collapsed="false">
      <c r="B16" s="192" t="str">
        <f aca="false">IF(E16="","",IF(E16&gt;2,1,0))</f>
        <v/>
      </c>
      <c r="C16" s="193"/>
      <c r="D16" s="193"/>
      <c r="E16" s="199"/>
      <c r="F16" s="200"/>
      <c r="G16" s="200"/>
      <c r="H16" s="199"/>
      <c r="I16" s="196"/>
      <c r="J16" s="196"/>
      <c r="K16" s="197" t="str">
        <f aca="false">IF(H16="","",IF(H16&gt;2,1,0))</f>
        <v/>
      </c>
      <c r="L16" s="192" t="str">
        <f aca="false">IF(O16="","",IF(O16&gt;2,1,0))</f>
        <v/>
      </c>
      <c r="M16" s="193"/>
      <c r="N16" s="193"/>
      <c r="O16" s="199"/>
      <c r="P16" s="200"/>
      <c r="Q16" s="200"/>
      <c r="R16" s="199"/>
      <c r="S16" s="196"/>
      <c r="T16" s="196"/>
      <c r="U16" s="197" t="str">
        <f aca="false">IF(R16="","",IF(R16&gt;2,1,0))</f>
        <v/>
      </c>
      <c r="V16" s="198"/>
    </row>
    <row r="17" customFormat="false" ht="22" hidden="false" customHeight="true" outlineLevel="0" collapsed="false">
      <c r="B17" s="192" t="str">
        <f aca="false">IF(E17="","",IF(E17&gt;2,1,0))</f>
        <v/>
      </c>
      <c r="C17" s="193"/>
      <c r="D17" s="193"/>
      <c r="E17" s="201"/>
      <c r="F17" s="200"/>
      <c r="G17" s="200"/>
      <c r="H17" s="201"/>
      <c r="I17" s="196"/>
      <c r="J17" s="196"/>
      <c r="K17" s="197" t="str">
        <f aca="false">IF(H17="","",IF(H17&gt;2,1,0))</f>
        <v/>
      </c>
      <c r="L17" s="192" t="str">
        <f aca="false">IF(O17="","",IF(O17&gt;2,1,0))</f>
        <v/>
      </c>
      <c r="M17" s="193"/>
      <c r="N17" s="193"/>
      <c r="O17" s="201"/>
      <c r="P17" s="200"/>
      <c r="Q17" s="200"/>
      <c r="R17" s="201"/>
      <c r="S17" s="196"/>
      <c r="T17" s="196"/>
      <c r="U17" s="197" t="str">
        <f aca="false">IF(R17="","",IF(R17&gt;2,1,0))</f>
        <v/>
      </c>
      <c r="V17" s="198"/>
    </row>
    <row r="18" customFormat="false" ht="30" hidden="false" customHeight="true" outlineLevel="0" collapsed="false">
      <c r="K18" s="198"/>
      <c r="V18" s="198"/>
    </row>
    <row r="19" s="179" customFormat="true" ht="28" hidden="false" customHeight="true" outlineLevel="0" collapsed="false">
      <c r="C19" s="180" t="str">
        <f aca="false">'Clb Q'!I26</f>
        <v>PLOMBIERES</v>
      </c>
      <c r="D19" s="180"/>
      <c r="E19" s="180"/>
      <c r="F19" s="181" t="s">
        <v>25</v>
      </c>
      <c r="G19" s="181"/>
      <c r="H19" s="180" t="str">
        <f aca="false">'Clb Q'!C26</f>
        <v>NEUFCHATEAU</v>
      </c>
      <c r="I19" s="180"/>
      <c r="J19" s="180"/>
      <c r="K19" s="182"/>
      <c r="M19" s="180" t="str">
        <f aca="false">'Clb Q'!I10</f>
        <v>VINCEY</v>
      </c>
      <c r="N19" s="180"/>
      <c r="O19" s="180"/>
      <c r="P19" s="181" t="s">
        <v>25</v>
      </c>
      <c r="Q19" s="181"/>
      <c r="R19" s="180" t="str">
        <f aca="false">'Clb Q'!C10</f>
        <v>MOYENMOUTIER</v>
      </c>
      <c r="S19" s="180"/>
      <c r="T19" s="180"/>
      <c r="V19" s="182"/>
    </row>
    <row r="20" s="183" customFormat="true" ht="22" hidden="false" customHeight="true" outlineLevel="1" collapsed="false">
      <c r="C20" s="184" t="str">
        <f aca="false">'Clb Q'!H28</f>
        <v>MARIN ANTONIN</v>
      </c>
      <c r="D20" s="184"/>
      <c r="E20" s="184"/>
      <c r="F20" s="185" t="n">
        <v>11</v>
      </c>
      <c r="G20" s="186" t="n">
        <v>12</v>
      </c>
      <c r="H20" s="184" t="str">
        <f aca="false">'Clb Q'!B28</f>
        <v>SOLER JOSE</v>
      </c>
      <c r="I20" s="184"/>
      <c r="J20" s="184"/>
      <c r="K20" s="187"/>
      <c r="M20" s="184" t="str">
        <f aca="false">'Clb Q'!H12</f>
        <v>MARCHAL EMMA</v>
      </c>
      <c r="N20" s="184"/>
      <c r="O20" s="184"/>
      <c r="P20" s="185" t="n">
        <v>11</v>
      </c>
      <c r="Q20" s="186" t="n">
        <v>12</v>
      </c>
      <c r="R20" s="184" t="str">
        <f aca="false">'Clb Q'!B12</f>
        <v>GRIVEL CHRISTOPHE</v>
      </c>
      <c r="S20" s="184"/>
      <c r="T20" s="184"/>
      <c r="V20" s="187"/>
    </row>
    <row r="21" s="183" customFormat="true" ht="22" hidden="false" customHeight="true" outlineLevel="1" collapsed="false">
      <c r="C21" s="184" t="str">
        <f aca="false">'Clb Q'!H29</f>
        <v>MARIN JEROME</v>
      </c>
      <c r="D21" s="184"/>
      <c r="E21" s="184"/>
      <c r="F21" s="188" t="n">
        <v>13</v>
      </c>
      <c r="G21" s="189" t="n">
        <v>14</v>
      </c>
      <c r="H21" s="184" t="str">
        <f aca="false">'Clb Q'!B29</f>
        <v>SERRANO FREDERIC</v>
      </c>
      <c r="I21" s="184"/>
      <c r="J21" s="184"/>
      <c r="K21" s="187"/>
      <c r="M21" s="184" t="str">
        <f aca="false">'Clb Q'!H13</f>
        <v>BERBAGUI LINE</v>
      </c>
      <c r="N21" s="184"/>
      <c r="O21" s="184"/>
      <c r="P21" s="188" t="n">
        <v>13</v>
      </c>
      <c r="Q21" s="189" t="n">
        <v>14</v>
      </c>
      <c r="R21" s="184" t="str">
        <f aca="false">'Clb Q'!B13</f>
        <v>COLIN MICHEL</v>
      </c>
      <c r="S21" s="184"/>
      <c r="T21" s="184"/>
      <c r="V21" s="187"/>
    </row>
    <row r="22" s="183" customFormat="true" ht="22" hidden="false" customHeight="true" outlineLevel="1" collapsed="false">
      <c r="C22" s="184" t="str">
        <f aca="false">'Clb Q'!H30</f>
        <v>AUBRY CEDRIC</v>
      </c>
      <c r="D22" s="184"/>
      <c r="E22" s="184"/>
      <c r="F22" s="188" t="n">
        <v>15</v>
      </c>
      <c r="G22" s="189" t="n">
        <v>16</v>
      </c>
      <c r="H22" s="184" t="str">
        <f aca="false">'Clb Q'!B30</f>
        <v>BRION-BOGARD SANDRINE</v>
      </c>
      <c r="I22" s="184"/>
      <c r="J22" s="184"/>
      <c r="K22" s="187"/>
      <c r="M22" s="184" t="str">
        <f aca="false">'Clb Q'!H14</f>
        <v>MARCHAL CLEMENT</v>
      </c>
      <c r="N22" s="184"/>
      <c r="O22" s="184"/>
      <c r="P22" s="188" t="n">
        <v>15</v>
      </c>
      <c r="Q22" s="189" t="n">
        <v>16</v>
      </c>
      <c r="R22" s="184" t="str">
        <f aca="false">'Clb Q'!B14</f>
        <v>GILLOT PIERRE</v>
      </c>
      <c r="S22" s="184"/>
      <c r="T22" s="184"/>
      <c r="V22" s="187"/>
    </row>
    <row r="23" s="183" customFormat="true" ht="22" hidden="false" customHeight="true" outlineLevel="1" collapsed="false">
      <c r="C23" s="184" t="str">
        <f aca="false">'Clb Q'!H31</f>
        <v>JORAND DANIEL</v>
      </c>
      <c r="D23" s="184"/>
      <c r="E23" s="184"/>
      <c r="F23" s="188" t="n">
        <v>17</v>
      </c>
      <c r="G23" s="189" t="n">
        <v>18</v>
      </c>
      <c r="H23" s="184" t="str">
        <f aca="false">'Clb Q'!B31</f>
        <v>CALME ROMAIN</v>
      </c>
      <c r="I23" s="184"/>
      <c r="J23" s="184"/>
      <c r="K23" s="187"/>
      <c r="M23" s="184" t="str">
        <f aca="false">'Clb Q'!H15</f>
        <v>FEY THEO</v>
      </c>
      <c r="N23" s="184"/>
      <c r="O23" s="184"/>
      <c r="P23" s="188" t="n">
        <v>17</v>
      </c>
      <c r="Q23" s="189" t="n">
        <v>18</v>
      </c>
      <c r="R23" s="184" t="str">
        <f aca="false">'Clb Q'!B15</f>
        <v>CHAMBRY JUSTINE</v>
      </c>
      <c r="S23" s="184"/>
      <c r="T23" s="184"/>
      <c r="V23" s="187"/>
    </row>
    <row r="24" s="183" customFormat="true" ht="22" hidden="false" customHeight="true" outlineLevel="1" collapsed="false">
      <c r="C24" s="184" t="str">
        <f aca="false">'Clb Q'!H32</f>
        <v>DERBESSE BASTIEN</v>
      </c>
      <c r="D24" s="184"/>
      <c r="E24" s="184"/>
      <c r="F24" s="190" t="n">
        <v>19</v>
      </c>
      <c r="G24" s="191" t="n">
        <v>20</v>
      </c>
      <c r="H24" s="184" t="str">
        <f aca="false">'Clb Q'!B32</f>
        <v>WILLEMIN LUDOVIC</v>
      </c>
      <c r="I24" s="184"/>
      <c r="J24" s="184"/>
      <c r="K24" s="187"/>
      <c r="M24" s="184" t="str">
        <f aca="false">'Clb Q'!H16</f>
        <v>GRANDJEAN CYRILLE</v>
      </c>
      <c r="N24" s="184"/>
      <c r="O24" s="184"/>
      <c r="P24" s="190" t="n">
        <v>19</v>
      </c>
      <c r="Q24" s="191" t="n">
        <v>20</v>
      </c>
      <c r="R24" s="184" t="str">
        <f aca="false">'Clb Q'!B16</f>
        <v>TACHET JEAN-MICHEL</v>
      </c>
      <c r="S24" s="184"/>
      <c r="T24" s="184"/>
      <c r="V24" s="187"/>
    </row>
    <row r="25" customFormat="false" ht="22" hidden="false" customHeight="true" outlineLevel="0" collapsed="false">
      <c r="B25" s="192" t="n">
        <f aca="false">IF(E25="","",IF(E25&gt;2,1,0))</f>
        <v>1</v>
      </c>
      <c r="C25" s="193" t="n">
        <f aca="false">IF(E25="","",SUM(B25:B31))</f>
        <v>1</v>
      </c>
      <c r="D25" s="193"/>
      <c r="E25" s="194" t="n">
        <v>3</v>
      </c>
      <c r="F25" s="195"/>
      <c r="G25" s="195"/>
      <c r="H25" s="194" t="n">
        <v>2</v>
      </c>
      <c r="I25" s="196" t="n">
        <f aca="false">IF(H25="","",SUM(K25:K31))</f>
        <v>4</v>
      </c>
      <c r="J25" s="196"/>
      <c r="K25" s="197" t="n">
        <f aca="false">IF(H25="","",IF(H25&gt;2,1,0))</f>
        <v>0</v>
      </c>
      <c r="L25" s="192" t="n">
        <f aca="false">IF(O25="","",IF(O25&gt;2,1,0))</f>
        <v>0</v>
      </c>
      <c r="M25" s="193" t="n">
        <f aca="false">IF(O25="","",SUM(L25:L31))</f>
        <v>3</v>
      </c>
      <c r="N25" s="193"/>
      <c r="O25" s="194" t="n">
        <v>2</v>
      </c>
      <c r="P25" s="195"/>
      <c r="Q25" s="195"/>
      <c r="R25" s="194" t="n">
        <v>3</v>
      </c>
      <c r="S25" s="196" t="n">
        <f aca="false">IF(R25="","",SUM(U25:U31))</f>
        <v>4</v>
      </c>
      <c r="T25" s="196"/>
      <c r="U25" s="197" t="n">
        <f aca="false">IF(R25="","",IF(R25&gt;2,1,0))</f>
        <v>1</v>
      </c>
      <c r="V25" s="198"/>
    </row>
    <row r="26" customFormat="false" ht="22" hidden="false" customHeight="true" outlineLevel="0" collapsed="false">
      <c r="B26" s="192" t="n">
        <f aca="false">IF(E26="","",IF(E26&gt;2,1,0))</f>
        <v>0</v>
      </c>
      <c r="C26" s="193"/>
      <c r="D26" s="193"/>
      <c r="E26" s="199" t="n">
        <v>1</v>
      </c>
      <c r="F26" s="200"/>
      <c r="G26" s="200"/>
      <c r="H26" s="199" t="n">
        <v>4</v>
      </c>
      <c r="I26" s="196"/>
      <c r="J26" s="196"/>
      <c r="K26" s="197" t="n">
        <f aca="false">IF(H26="","",IF(H26&gt;2,1,0))</f>
        <v>1</v>
      </c>
      <c r="L26" s="192" t="n">
        <f aca="false">IF(O26="","",IF(O26&gt;2,1,0))</f>
        <v>1</v>
      </c>
      <c r="M26" s="193"/>
      <c r="N26" s="193"/>
      <c r="O26" s="199" t="n">
        <v>3</v>
      </c>
      <c r="P26" s="200"/>
      <c r="Q26" s="200"/>
      <c r="R26" s="199" t="n">
        <v>2</v>
      </c>
      <c r="S26" s="196"/>
      <c r="T26" s="196"/>
      <c r="U26" s="197" t="n">
        <f aca="false">IF(R26="","",IF(R26&gt;2,1,0))</f>
        <v>0</v>
      </c>
      <c r="V26" s="198"/>
    </row>
    <row r="27" customFormat="false" ht="22" hidden="false" customHeight="true" outlineLevel="0" collapsed="false">
      <c r="B27" s="192" t="n">
        <f aca="false">IF(E27="","",IF(E27&gt;2,1,0))</f>
        <v>0</v>
      </c>
      <c r="C27" s="193"/>
      <c r="D27" s="193"/>
      <c r="E27" s="199" t="n">
        <v>1</v>
      </c>
      <c r="F27" s="200"/>
      <c r="G27" s="200"/>
      <c r="H27" s="199" t="n">
        <v>4</v>
      </c>
      <c r="I27" s="196"/>
      <c r="J27" s="196"/>
      <c r="K27" s="197" t="n">
        <f aca="false">IF(H27="","",IF(H27&gt;2,1,0))</f>
        <v>1</v>
      </c>
      <c r="L27" s="192" t="n">
        <f aca="false">IF(O27="","",IF(O27&gt;2,1,0))</f>
        <v>0</v>
      </c>
      <c r="M27" s="193"/>
      <c r="N27" s="193"/>
      <c r="O27" s="199" t="n">
        <v>2</v>
      </c>
      <c r="P27" s="200"/>
      <c r="Q27" s="200"/>
      <c r="R27" s="199" t="n">
        <v>3</v>
      </c>
      <c r="S27" s="196"/>
      <c r="T27" s="196"/>
      <c r="U27" s="197" t="n">
        <f aca="false">IF(R27="","",IF(R27&gt;2,1,0))</f>
        <v>1</v>
      </c>
      <c r="V27" s="198"/>
    </row>
    <row r="28" customFormat="false" ht="22" hidden="false" customHeight="true" outlineLevel="0" collapsed="false">
      <c r="B28" s="192" t="n">
        <f aca="false">IF(E28="","",IF(E28&gt;2,1,0))</f>
        <v>0</v>
      </c>
      <c r="C28" s="193"/>
      <c r="D28" s="193"/>
      <c r="E28" s="199" t="n">
        <v>1</v>
      </c>
      <c r="F28" s="200"/>
      <c r="G28" s="200"/>
      <c r="H28" s="199" t="n">
        <v>4</v>
      </c>
      <c r="I28" s="196"/>
      <c r="J28" s="196"/>
      <c r="K28" s="197" t="n">
        <f aca="false">IF(H28="","",IF(H28&gt;2,1,0))</f>
        <v>1</v>
      </c>
      <c r="L28" s="192" t="n">
        <f aca="false">IF(O28="","",IF(O28&gt;2,1,0))</f>
        <v>1</v>
      </c>
      <c r="M28" s="193"/>
      <c r="N28" s="193"/>
      <c r="O28" s="199" t="n">
        <v>3</v>
      </c>
      <c r="P28" s="200"/>
      <c r="Q28" s="200"/>
      <c r="R28" s="199" t="n">
        <v>2</v>
      </c>
      <c r="S28" s="196"/>
      <c r="T28" s="196"/>
      <c r="U28" s="197" t="n">
        <f aca="false">IF(R28="","",IF(R28&gt;2,1,0))</f>
        <v>0</v>
      </c>
      <c r="V28" s="198"/>
    </row>
    <row r="29" customFormat="false" ht="22" hidden="false" customHeight="true" outlineLevel="0" collapsed="false">
      <c r="B29" s="192" t="n">
        <f aca="false">IF(E29="","",IF(E29&gt;2,1,0))</f>
        <v>0</v>
      </c>
      <c r="C29" s="193"/>
      <c r="D29" s="193"/>
      <c r="E29" s="199" t="n">
        <v>2</v>
      </c>
      <c r="F29" s="200"/>
      <c r="G29" s="200"/>
      <c r="H29" s="199" t="n">
        <v>3</v>
      </c>
      <c r="I29" s="196"/>
      <c r="J29" s="196"/>
      <c r="K29" s="197" t="n">
        <f aca="false">IF(H29="","",IF(H29&gt;2,1,0))</f>
        <v>1</v>
      </c>
      <c r="L29" s="192" t="n">
        <f aca="false">IF(O29="","",IF(O29&gt;2,1,0))</f>
        <v>0</v>
      </c>
      <c r="M29" s="193"/>
      <c r="N29" s="193"/>
      <c r="O29" s="199" t="n">
        <v>2</v>
      </c>
      <c r="P29" s="200"/>
      <c r="Q29" s="200"/>
      <c r="R29" s="199" t="n">
        <v>3</v>
      </c>
      <c r="S29" s="196"/>
      <c r="T29" s="196"/>
      <c r="U29" s="197" t="n">
        <f aca="false">IF(R29="","",IF(R29&gt;2,1,0))</f>
        <v>1</v>
      </c>
      <c r="V29" s="198"/>
    </row>
    <row r="30" customFormat="false" ht="22" hidden="false" customHeight="true" outlineLevel="0" collapsed="false">
      <c r="B30" s="192" t="str">
        <f aca="false">IF(E30="","",IF(E30&gt;2,1,0))</f>
        <v/>
      </c>
      <c r="C30" s="193"/>
      <c r="D30" s="193"/>
      <c r="E30" s="199"/>
      <c r="F30" s="200"/>
      <c r="G30" s="200"/>
      <c r="H30" s="199"/>
      <c r="I30" s="196"/>
      <c r="J30" s="196"/>
      <c r="K30" s="197" t="str">
        <f aca="false">IF(H30="","",IF(H30&gt;2,1,0))</f>
        <v/>
      </c>
      <c r="L30" s="192" t="n">
        <f aca="false">IF(O30="","",IF(O30&gt;2,1,0))</f>
        <v>1</v>
      </c>
      <c r="M30" s="193"/>
      <c r="N30" s="193"/>
      <c r="O30" s="199" t="n">
        <v>3</v>
      </c>
      <c r="P30" s="200"/>
      <c r="Q30" s="200"/>
      <c r="R30" s="199" t="n">
        <v>2</v>
      </c>
      <c r="S30" s="196"/>
      <c r="T30" s="196"/>
      <c r="U30" s="197" t="n">
        <f aca="false">IF(R30="","",IF(R30&gt;2,1,0))</f>
        <v>0</v>
      </c>
      <c r="V30" s="198"/>
    </row>
    <row r="31" customFormat="false" ht="22" hidden="false" customHeight="true" outlineLevel="0" collapsed="false">
      <c r="B31" s="192" t="str">
        <f aca="false">IF(E31="","",IF(E31&gt;2,1,0))</f>
        <v/>
      </c>
      <c r="C31" s="193"/>
      <c r="D31" s="193"/>
      <c r="E31" s="201"/>
      <c r="F31" s="200"/>
      <c r="G31" s="200"/>
      <c r="H31" s="201"/>
      <c r="I31" s="196"/>
      <c r="J31" s="196"/>
      <c r="K31" s="197" t="str">
        <f aca="false">IF(H31="","",IF(H31&gt;2,1,0))</f>
        <v/>
      </c>
      <c r="L31" s="192" t="n">
        <f aca="false">IF(O31="","",IF(O31&gt;2,1,0))</f>
        <v>0</v>
      </c>
      <c r="M31" s="193"/>
      <c r="N31" s="193"/>
      <c r="O31" s="201" t="n">
        <v>2</v>
      </c>
      <c r="P31" s="200"/>
      <c r="Q31" s="200"/>
      <c r="R31" s="201" t="n">
        <v>3</v>
      </c>
      <c r="S31" s="196"/>
      <c r="T31" s="196"/>
      <c r="U31" s="197" t="n">
        <f aca="false">IF(R31="","",IF(R31&gt;2,1,0))</f>
        <v>1</v>
      </c>
      <c r="V31" s="198"/>
    </row>
    <row r="32" customFormat="false" ht="400" hidden="true" customHeight="true" outlineLevel="1" collapsed="false">
      <c r="K32" s="198"/>
    </row>
    <row r="33" customFormat="false" ht="100" hidden="true" customHeight="true" outlineLevel="1" collapsed="false">
      <c r="K33" s="198"/>
    </row>
    <row r="34" customFormat="false" ht="60" hidden="false" customHeight="true" outlineLevel="0" collapsed="false">
      <c r="B34" s="202" t="s">
        <v>112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</row>
    <row r="35" s="179" customFormat="true" ht="28" hidden="false" customHeight="true" outlineLevel="0" collapsed="false">
      <c r="C35" s="203" t="str">
        <f aca="false">IF(H5="",C5,IF(C11="","",IF(I11="","",IF(C11&gt;3,C5,IF(I11&gt;3,H5,"")))))</f>
        <v>THAON</v>
      </c>
      <c r="D35" s="203"/>
      <c r="E35" s="203"/>
      <c r="F35" s="181" t="s">
        <v>25</v>
      </c>
      <c r="G35" s="181"/>
      <c r="H35" s="203" t="str">
        <f aca="false">IF(C19="",H19,IF(C25="","",IF(I25="","",IF(C25&gt;3,C19,IF(I25&gt;3,H19,"")))))</f>
        <v>NEUFCHATEAU</v>
      </c>
      <c r="I35" s="203"/>
      <c r="J35" s="203"/>
      <c r="K35" s="198"/>
      <c r="M35" s="203" t="str">
        <f aca="false">IF(R5="",M5,IF(M11="","",IF(S11="","",IF(M11&gt;3,M5,IF(S11&gt;3,R5,"")))))</f>
        <v>EPINAL</v>
      </c>
      <c r="N35" s="203"/>
      <c r="O35" s="203"/>
      <c r="P35" s="181" t="s">
        <v>25</v>
      </c>
      <c r="Q35" s="181"/>
      <c r="R35" s="203" t="str">
        <f aca="false">IF(M19="",R19,IF(M25="","",IF(S25="","",IF(M25&gt;3,M19,IF(S25&gt;3,R19,"")))))</f>
        <v>MOYENMOUTIER</v>
      </c>
      <c r="S35" s="203"/>
      <c r="T35" s="203"/>
    </row>
    <row r="36" s="183" customFormat="true" ht="22" hidden="false" customHeight="true" outlineLevel="1" collapsed="false">
      <c r="C36" s="204" t="str">
        <f aca="false">IF(H6="",C6,IF(C11="","",IF(I11="","",IF(C11&gt;3,C6,IF(I11&gt;3,H6,"")))))</f>
        <v>TABOUREUX ADRIEN</v>
      </c>
      <c r="D36" s="204"/>
      <c r="E36" s="204"/>
      <c r="F36" s="205" t="n">
        <v>1</v>
      </c>
      <c r="G36" s="206" t="n">
        <v>2</v>
      </c>
      <c r="H36" s="204" t="str">
        <f aca="false">IF(C20="",H20,IF(C25="","",IF(I25="","",IF(C25&gt;3,C20,IF(I25&gt;3,H20,"")))))</f>
        <v>SOLER JOSE</v>
      </c>
      <c r="I36" s="204"/>
      <c r="J36" s="204"/>
      <c r="K36" s="198"/>
      <c r="M36" s="204" t="str">
        <f aca="false">IF(R6="",M6,IF(M11="","",IF(S11="","",IF(M11&gt;3,M6,IF(S11&gt;3,R6,"")))))</f>
        <v>BRIQUE ZACCHARY</v>
      </c>
      <c r="N36" s="204"/>
      <c r="O36" s="204"/>
      <c r="P36" s="205" t="n">
        <v>11</v>
      </c>
      <c r="Q36" s="206" t="n">
        <v>12</v>
      </c>
      <c r="R36" s="204" t="str">
        <f aca="false">IF(M20="",R20,IF(M25="","",IF(S25="","",IF(M25&gt;3,M20,IF(S25&gt;3,R20,"")))))</f>
        <v>GRIVEL CHRISTOPHE</v>
      </c>
      <c r="S36" s="204"/>
      <c r="T36" s="204"/>
      <c r="U36" s="207"/>
    </row>
    <row r="37" s="183" customFormat="true" ht="22" hidden="false" customHeight="true" outlineLevel="1" collapsed="false">
      <c r="C37" s="204" t="str">
        <f aca="false">IF(H7="",C7,IF(C11="","",IF(I11="","",IF(C11&gt;3,C7,IF(I11&gt;3,H7,"")))))</f>
        <v>TABOUREUX CHRISTOPHE</v>
      </c>
      <c r="D37" s="204"/>
      <c r="E37" s="204"/>
      <c r="F37" s="208" t="n">
        <v>3</v>
      </c>
      <c r="G37" s="209" t="n">
        <v>4</v>
      </c>
      <c r="H37" s="204" t="str">
        <f aca="false">IF(C21="",H21,IF(C25="","",IF(I25="","",IF(C25&gt;3,C21,IF(I25&gt;3,H21,"")))))</f>
        <v>SERRANO FREDERIC</v>
      </c>
      <c r="I37" s="204"/>
      <c r="J37" s="204"/>
      <c r="K37" s="198"/>
      <c r="M37" s="204" t="str">
        <f aca="false">IF(R7="",M7,IF(M11="","",IF(S11="","",IF(M11&gt;3,M7,IF(S11&gt;3,R7,"")))))</f>
        <v>GONELLY GAETAN</v>
      </c>
      <c r="N37" s="204"/>
      <c r="O37" s="204"/>
      <c r="P37" s="208" t="n">
        <v>13</v>
      </c>
      <c r="Q37" s="209" t="n">
        <v>14</v>
      </c>
      <c r="R37" s="204" t="str">
        <f aca="false">IF(M21="",R21,IF(M25="","",IF(S25="","",IF(M25&gt;3,M21,IF(S25&gt;3,R21,"")))))</f>
        <v>COLIN MICHEL</v>
      </c>
      <c r="S37" s="204"/>
      <c r="T37" s="204"/>
      <c r="U37" s="207"/>
    </row>
    <row r="38" s="183" customFormat="true" ht="22" hidden="false" customHeight="true" outlineLevel="1" collapsed="false">
      <c r="C38" s="204" t="str">
        <f aca="false">IF(H8="",C8,IF(C11="","",IF(I11="","",IF(C11&gt;3,C8,IF(I11&gt;3,H8,"")))))</f>
        <v>PARISSE ALEXANDRE</v>
      </c>
      <c r="D38" s="204"/>
      <c r="E38" s="204"/>
      <c r="F38" s="208" t="n">
        <v>5</v>
      </c>
      <c r="G38" s="209" t="n">
        <v>6</v>
      </c>
      <c r="H38" s="204" t="str">
        <f aca="false">IF(C22="",H22,IF(C25="","",IF(I25="","",IF(C25&gt;3,C22,IF(I25&gt;3,H22,"")))))</f>
        <v>BRION-BOGARD SANDRINE</v>
      </c>
      <c r="I38" s="204"/>
      <c r="J38" s="204"/>
      <c r="K38" s="198"/>
      <c r="M38" s="204" t="str">
        <f aca="false">IF(R8="",M8,IF(M11="","",IF(S11="","",IF(M11&gt;3,M8,IF(S11&gt;3,R8,"")))))</f>
        <v>GRAEBLING SOLENA</v>
      </c>
      <c r="N38" s="204"/>
      <c r="O38" s="204"/>
      <c r="P38" s="208" t="n">
        <v>15</v>
      </c>
      <c r="Q38" s="209" t="n">
        <v>16</v>
      </c>
      <c r="R38" s="204" t="str">
        <f aca="false">IF(M22="",R22,IF(M25="","",IF(S25="","",IF(M25&gt;3,M22,IF(S25&gt;3,R22,"")))))</f>
        <v>GILLOT PIERRE</v>
      </c>
      <c r="S38" s="204"/>
      <c r="T38" s="204"/>
      <c r="U38" s="207"/>
    </row>
    <row r="39" s="183" customFormat="true" ht="22" hidden="false" customHeight="true" outlineLevel="1" collapsed="false">
      <c r="C39" s="204" t="str">
        <f aca="false">IF(H9="",C9,IF(C11="","",IF(I11="","",IF(C11&gt;3,C9,IF(I11&gt;3,H9,"")))))</f>
        <v>TABOUREUX ANNE</v>
      </c>
      <c r="D39" s="204"/>
      <c r="E39" s="204"/>
      <c r="F39" s="208" t="n">
        <v>7</v>
      </c>
      <c r="G39" s="209" t="n">
        <v>8</v>
      </c>
      <c r="H39" s="204" t="str">
        <f aca="false">IF(C23="",H23,IF(C25="","",IF(I25="","",IF(C25&gt;3,C23,IF(I25&gt;3,H23,"")))))</f>
        <v>CALME ROMAIN</v>
      </c>
      <c r="I39" s="204"/>
      <c r="J39" s="204"/>
      <c r="K39" s="198"/>
      <c r="M39" s="204" t="str">
        <f aca="false">IF(R9="",M9,IF(M11="","",IF(S11="","",IF(M11&gt;3,M9,IF(S11&gt;3,R9,"")))))</f>
        <v>FOLLIOT JEROME</v>
      </c>
      <c r="N39" s="204"/>
      <c r="O39" s="204"/>
      <c r="P39" s="208" t="n">
        <v>17</v>
      </c>
      <c r="Q39" s="209" t="n">
        <v>18</v>
      </c>
      <c r="R39" s="204" t="str">
        <f aca="false">IF(M23="",R23,IF(M25="","",IF(S25="","",IF(M25&gt;3,M23,IF(S25&gt;3,R23,"")))))</f>
        <v>CHAMBRY JUSTINE</v>
      </c>
      <c r="S39" s="204"/>
      <c r="T39" s="204"/>
      <c r="U39" s="207"/>
    </row>
    <row r="40" s="183" customFormat="true" ht="22" hidden="false" customHeight="true" outlineLevel="1" collapsed="false">
      <c r="C40" s="204" t="str">
        <f aca="false">IF(H10="",C10,IF(C11="","",IF(I11="","",IF(C11&gt;3,C10,IF(I11&gt;3,H10,"")))))</f>
        <v>FRAYARD LAURENCE</v>
      </c>
      <c r="D40" s="204"/>
      <c r="E40" s="204"/>
      <c r="F40" s="210" t="n">
        <v>9</v>
      </c>
      <c r="G40" s="211" t="n">
        <v>10</v>
      </c>
      <c r="H40" s="204" t="str">
        <f aca="false">IF(C24="",H24,IF(C25="","",IF(I25="","",IF(C25&gt;3,C24,IF(I25&gt;3,H24,"")))))</f>
        <v>WILLEMIN LUDOVIC</v>
      </c>
      <c r="I40" s="204"/>
      <c r="J40" s="204"/>
      <c r="K40" s="198"/>
      <c r="M40" s="204" t="str">
        <f aca="false">IF(R10="",M10,IF(M11="","",IF(S11="","",IF(M11&gt;3,M10,IF(S11&gt;3,R10,"")))))</f>
        <v>SIMONETTI FLORENT</v>
      </c>
      <c r="N40" s="204"/>
      <c r="O40" s="204"/>
      <c r="P40" s="210" t="n">
        <v>19</v>
      </c>
      <c r="Q40" s="211" t="n">
        <v>20</v>
      </c>
      <c r="R40" s="204" t="str">
        <f aca="false">IF(M24="",R24,IF(M25="","",IF(S25="","",IF(M25&gt;3,M24,IF(S25&gt;3,R24,"")))))</f>
        <v>TACHET JEAN-MICHEL</v>
      </c>
      <c r="S40" s="204"/>
      <c r="T40" s="204"/>
      <c r="U40" s="207"/>
    </row>
    <row r="41" customFormat="false" ht="22" hidden="false" customHeight="true" outlineLevel="0" collapsed="false">
      <c r="B41" s="192" t="n">
        <f aca="false">IF(E41="","",IF(E41&gt;2,1,0))</f>
        <v>1</v>
      </c>
      <c r="C41" s="193" t="n">
        <f aca="false">IF(E41="","",SUM(B41:B47))</f>
        <v>4</v>
      </c>
      <c r="D41" s="193"/>
      <c r="E41" s="194" t="n">
        <v>4</v>
      </c>
      <c r="F41" s="195"/>
      <c r="G41" s="195"/>
      <c r="H41" s="194" t="n">
        <v>1</v>
      </c>
      <c r="I41" s="196" t="n">
        <f aca="false">IF(H41="","",SUM(K41:K47))</f>
        <v>0</v>
      </c>
      <c r="J41" s="196"/>
      <c r="K41" s="197" t="n">
        <f aca="false">IF(H41="","",IF(H41&gt;2,1,0))</f>
        <v>0</v>
      </c>
      <c r="L41" s="212" t="n">
        <f aca="false">IF(O41="","",IF(O41&gt;2,1,0))</f>
        <v>1</v>
      </c>
      <c r="M41" s="193" t="n">
        <f aca="false">IF(O41="","",SUM(L41:L47))</f>
        <v>4</v>
      </c>
      <c r="N41" s="193"/>
      <c r="O41" s="194" t="n">
        <v>5</v>
      </c>
      <c r="P41" s="195"/>
      <c r="Q41" s="195"/>
      <c r="R41" s="194" t="n">
        <v>0</v>
      </c>
      <c r="S41" s="196" t="n">
        <f aca="false">IF(R41="","",SUM(U41:U47))</f>
        <v>2</v>
      </c>
      <c r="T41" s="196"/>
      <c r="U41" s="197" t="n">
        <f aca="false">IF(R41="","",IF(R41&gt;2,1,0))</f>
        <v>0</v>
      </c>
      <c r="V41" s="198"/>
    </row>
    <row r="42" customFormat="false" ht="22" hidden="false" customHeight="true" outlineLevel="0" collapsed="false">
      <c r="B42" s="192" t="n">
        <f aca="false">IF(E42="","",IF(E42&gt;2,1,0))</f>
        <v>1</v>
      </c>
      <c r="C42" s="193"/>
      <c r="D42" s="193"/>
      <c r="E42" s="199" t="n">
        <v>3</v>
      </c>
      <c r="F42" s="200"/>
      <c r="G42" s="200"/>
      <c r="H42" s="199" t="n">
        <v>2</v>
      </c>
      <c r="I42" s="196"/>
      <c r="J42" s="196"/>
      <c r="K42" s="197" t="n">
        <f aca="false">IF(H42="","",IF(H42&gt;2,1,0))</f>
        <v>0</v>
      </c>
      <c r="L42" s="212" t="n">
        <f aca="false">IF(O42="","",IF(O42&gt;2,1,0))</f>
        <v>0</v>
      </c>
      <c r="M42" s="193"/>
      <c r="N42" s="193"/>
      <c r="O42" s="199" t="n">
        <v>2</v>
      </c>
      <c r="P42" s="200"/>
      <c r="Q42" s="200"/>
      <c r="R42" s="199" t="n">
        <v>3</v>
      </c>
      <c r="S42" s="196"/>
      <c r="T42" s="196"/>
      <c r="U42" s="197" t="n">
        <f aca="false">IF(R42="","",IF(R42&gt;2,1,0))</f>
        <v>1</v>
      </c>
      <c r="V42" s="198"/>
    </row>
    <row r="43" customFormat="false" ht="22" hidden="false" customHeight="true" outlineLevel="0" collapsed="false">
      <c r="B43" s="192" t="n">
        <f aca="false">IF(E43="","",IF(E43&gt;2,1,0))</f>
        <v>1</v>
      </c>
      <c r="C43" s="193"/>
      <c r="D43" s="193"/>
      <c r="E43" s="199" t="n">
        <v>3</v>
      </c>
      <c r="F43" s="200"/>
      <c r="G43" s="200"/>
      <c r="H43" s="199" t="n">
        <v>2</v>
      </c>
      <c r="I43" s="196"/>
      <c r="J43" s="196"/>
      <c r="K43" s="197" t="n">
        <f aca="false">IF(H43="","",IF(H43&gt;2,1,0))</f>
        <v>0</v>
      </c>
      <c r="L43" s="212" t="n">
        <f aca="false">IF(O43="","",IF(O43&gt;2,1,0))</f>
        <v>1</v>
      </c>
      <c r="M43" s="193"/>
      <c r="N43" s="193"/>
      <c r="O43" s="199" t="n">
        <v>4</v>
      </c>
      <c r="P43" s="200"/>
      <c r="Q43" s="200"/>
      <c r="R43" s="199" t="n">
        <v>1</v>
      </c>
      <c r="S43" s="196"/>
      <c r="T43" s="196"/>
      <c r="U43" s="197" t="n">
        <f aca="false">IF(R43="","",IF(R43&gt;2,1,0))</f>
        <v>0</v>
      </c>
      <c r="V43" s="198"/>
    </row>
    <row r="44" customFormat="false" ht="22" hidden="false" customHeight="true" outlineLevel="0" collapsed="false">
      <c r="B44" s="192" t="n">
        <f aca="false">IF(E44="","",IF(E44&gt;2,1,0))</f>
        <v>1</v>
      </c>
      <c r="C44" s="193"/>
      <c r="D44" s="193"/>
      <c r="E44" s="199" t="n">
        <v>3</v>
      </c>
      <c r="F44" s="200"/>
      <c r="G44" s="200"/>
      <c r="H44" s="199" t="n">
        <v>2</v>
      </c>
      <c r="I44" s="196"/>
      <c r="J44" s="196"/>
      <c r="K44" s="197" t="n">
        <f aca="false">IF(H44="","",IF(H44&gt;2,1,0))</f>
        <v>0</v>
      </c>
      <c r="L44" s="212" t="n">
        <f aca="false">IF(O44="","",IF(O44&gt;2,1,0))</f>
        <v>0</v>
      </c>
      <c r="M44" s="193"/>
      <c r="N44" s="193"/>
      <c r="O44" s="199" t="n">
        <v>2</v>
      </c>
      <c r="P44" s="200"/>
      <c r="Q44" s="200"/>
      <c r="R44" s="199" t="n">
        <v>3</v>
      </c>
      <c r="S44" s="196"/>
      <c r="T44" s="196"/>
      <c r="U44" s="197" t="n">
        <f aca="false">IF(R44="","",IF(R44&gt;2,1,0))</f>
        <v>1</v>
      </c>
      <c r="V44" s="198"/>
    </row>
    <row r="45" customFormat="false" ht="22" hidden="false" customHeight="true" outlineLevel="0" collapsed="false">
      <c r="B45" s="192" t="str">
        <f aca="false">IF(E45="","",IF(E45&gt;2,1,0))</f>
        <v/>
      </c>
      <c r="C45" s="193"/>
      <c r="D45" s="193"/>
      <c r="E45" s="199"/>
      <c r="F45" s="200"/>
      <c r="G45" s="200"/>
      <c r="H45" s="199"/>
      <c r="I45" s="196"/>
      <c r="J45" s="196"/>
      <c r="K45" s="197" t="str">
        <f aca="false">IF(H45="","",IF(H45&gt;2,1,0))</f>
        <v/>
      </c>
      <c r="L45" s="212" t="n">
        <f aca="false">IF(O45="","",IF(O45&gt;2,1,0))</f>
        <v>1</v>
      </c>
      <c r="M45" s="193"/>
      <c r="N45" s="193"/>
      <c r="O45" s="199" t="n">
        <v>4</v>
      </c>
      <c r="P45" s="200"/>
      <c r="Q45" s="200"/>
      <c r="R45" s="199" t="n">
        <v>1</v>
      </c>
      <c r="S45" s="196"/>
      <c r="T45" s="196"/>
      <c r="U45" s="197" t="n">
        <f aca="false">IF(R45="","",IF(R45&gt;2,1,0))</f>
        <v>0</v>
      </c>
      <c r="V45" s="198"/>
    </row>
    <row r="46" customFormat="false" ht="22" hidden="false" customHeight="true" outlineLevel="0" collapsed="false">
      <c r="B46" s="192" t="str">
        <f aca="false">IF(E46="","",IF(E46&gt;2,1,0))</f>
        <v/>
      </c>
      <c r="C46" s="193"/>
      <c r="D46" s="193"/>
      <c r="E46" s="199"/>
      <c r="F46" s="200"/>
      <c r="G46" s="200"/>
      <c r="H46" s="199"/>
      <c r="I46" s="196"/>
      <c r="J46" s="196"/>
      <c r="K46" s="197" t="str">
        <f aca="false">IF(H46="","",IF(H46&gt;2,1,0))</f>
        <v/>
      </c>
      <c r="L46" s="212" t="n">
        <f aca="false">IF(O46="","",IF(O46&gt;2,1,0))</f>
        <v>1</v>
      </c>
      <c r="M46" s="193"/>
      <c r="N46" s="193"/>
      <c r="O46" s="199" t="n">
        <v>3</v>
      </c>
      <c r="P46" s="200"/>
      <c r="Q46" s="200"/>
      <c r="R46" s="199" t="n">
        <v>2</v>
      </c>
      <c r="S46" s="196"/>
      <c r="T46" s="196"/>
      <c r="U46" s="197" t="n">
        <f aca="false">IF(R46="","",IF(R46&gt;2,1,0))</f>
        <v>0</v>
      </c>
      <c r="V46" s="198"/>
    </row>
    <row r="47" customFormat="false" ht="22" hidden="false" customHeight="true" outlineLevel="0" collapsed="false">
      <c r="B47" s="192" t="str">
        <f aca="false">IF(E47="","",IF(E47&gt;2,1,0))</f>
        <v/>
      </c>
      <c r="C47" s="193"/>
      <c r="D47" s="193"/>
      <c r="E47" s="201"/>
      <c r="F47" s="200"/>
      <c r="G47" s="200"/>
      <c r="H47" s="201"/>
      <c r="I47" s="196"/>
      <c r="J47" s="196"/>
      <c r="K47" s="197" t="str">
        <f aca="false">IF(H47="","",IF(H47&gt;2,1,0))</f>
        <v/>
      </c>
      <c r="L47" s="212" t="str">
        <f aca="false">IF(O47="","",IF(O47&gt;2,1,0))</f>
        <v/>
      </c>
      <c r="M47" s="193"/>
      <c r="N47" s="193"/>
      <c r="O47" s="201"/>
      <c r="P47" s="200"/>
      <c r="Q47" s="200"/>
      <c r="R47" s="201"/>
      <c r="S47" s="196"/>
      <c r="T47" s="196"/>
      <c r="U47" s="197" t="str">
        <f aca="false">IF(R47="","",IF(R47&gt;2,1,0))</f>
        <v/>
      </c>
      <c r="V47" s="198"/>
    </row>
    <row r="48" customFormat="false" ht="300" hidden="true" customHeight="true" outlineLevel="1" collapsed="false">
      <c r="K48" s="198"/>
      <c r="V48" s="198"/>
    </row>
    <row r="49" customFormat="false" ht="300" hidden="true" customHeight="true" outlineLevel="1" collapsed="false">
      <c r="V49" s="198"/>
    </row>
    <row r="50" customFormat="false" ht="59" hidden="false" customHeight="true" outlineLevel="0" collapsed="false">
      <c r="B50" s="198"/>
      <c r="C50" s="198"/>
      <c r="D50" s="198"/>
      <c r="E50" s="198"/>
      <c r="F50" s="198"/>
      <c r="G50" s="198"/>
      <c r="H50" s="202" t="s">
        <v>113</v>
      </c>
      <c r="I50" s="202"/>
      <c r="J50" s="202"/>
      <c r="K50" s="202"/>
      <c r="L50" s="202"/>
      <c r="M50" s="202"/>
      <c r="N50" s="202"/>
      <c r="O50" s="202"/>
      <c r="P50" s="213"/>
      <c r="Q50" s="198"/>
      <c r="R50" s="198"/>
      <c r="S50" s="198"/>
      <c r="T50" s="198"/>
      <c r="U50" s="198"/>
    </row>
    <row r="51" s="179" customFormat="true" ht="28" hidden="false" customHeight="true" outlineLevel="0" collapsed="false">
      <c r="F51" s="214"/>
      <c r="G51" s="214"/>
      <c r="H51" s="215" t="str">
        <f aca="false">IF(C41="","",IF(I41="","",IF(C41&gt;3,H35,IF(I41&gt;3,C35,""))))</f>
        <v>NEUFCHATEAU</v>
      </c>
      <c r="I51" s="215"/>
      <c r="J51" s="215"/>
      <c r="K51" s="181" t="s">
        <v>25</v>
      </c>
      <c r="L51" s="181"/>
      <c r="M51" s="215" t="str">
        <f aca="false">IF(M41="","",IF(S41="","",IF(M41&gt;3,R35,IF(S41&gt;3,M35,""))))</f>
        <v>MOYENMOUTIER</v>
      </c>
      <c r="N51" s="215"/>
      <c r="O51" s="215"/>
      <c r="P51" s="216"/>
      <c r="Q51" s="216"/>
    </row>
    <row r="52" s="183" customFormat="true" ht="22" hidden="false" customHeight="true" outlineLevel="1" collapsed="false">
      <c r="F52" s="214"/>
      <c r="G52" s="214"/>
      <c r="H52" s="217" t="str">
        <f aca="false">IF(C41="","",IF(I41="","",IF(C41&gt;3,H36,IF(I41&gt;3,C36,""))))</f>
        <v>SOLER JOSE</v>
      </c>
      <c r="I52" s="217"/>
      <c r="J52" s="217"/>
      <c r="K52" s="218" t="n">
        <v>11</v>
      </c>
      <c r="L52" s="219" t="n">
        <v>12</v>
      </c>
      <c r="M52" s="217" t="str">
        <f aca="false">IF(M41="","",IF(S41="","",IF(M41&gt;3,R36,IF(S41&gt;3,M36,""))))</f>
        <v>GRIVEL CHRISTOPHE</v>
      </c>
      <c r="N52" s="217"/>
      <c r="O52" s="217"/>
      <c r="P52" s="216"/>
      <c r="Q52" s="216"/>
    </row>
    <row r="53" s="183" customFormat="true" ht="22" hidden="false" customHeight="true" outlineLevel="1" collapsed="false">
      <c r="F53" s="214"/>
      <c r="G53" s="214"/>
      <c r="H53" s="217" t="str">
        <f aca="false">IF(C41="","",IF(I41="","",IF(C41&gt;3,H37,IF(I41&gt;3,C37,""))))</f>
        <v>SERRANO FREDERIC</v>
      </c>
      <c r="I53" s="217"/>
      <c r="J53" s="217"/>
      <c r="K53" s="220" t="n">
        <v>13</v>
      </c>
      <c r="L53" s="221" t="n">
        <v>14</v>
      </c>
      <c r="M53" s="217" t="str">
        <f aca="false">IF(M41="","",IF(S41="","",IF(M41&gt;3,R37,IF(S41&gt;3,M37,""))))</f>
        <v>COLIN MICHEL</v>
      </c>
      <c r="N53" s="217"/>
      <c r="O53" s="217"/>
      <c r="P53" s="216"/>
      <c r="Q53" s="216"/>
    </row>
    <row r="54" s="183" customFormat="true" ht="22" hidden="false" customHeight="true" outlineLevel="1" collapsed="false">
      <c r="F54" s="214"/>
      <c r="G54" s="214"/>
      <c r="H54" s="217" t="str">
        <f aca="false">IF(C41="","",IF(I41="","",IF(C41&gt;3,H38,IF(I41&gt;3,C38,""))))</f>
        <v>BRION-BOGARD SANDRINE</v>
      </c>
      <c r="I54" s="217"/>
      <c r="J54" s="217"/>
      <c r="K54" s="220" t="n">
        <v>15</v>
      </c>
      <c r="L54" s="221" t="n">
        <v>16</v>
      </c>
      <c r="M54" s="217" t="str">
        <f aca="false">IF(M41="","",IF(S41="","",IF(M41&gt;3,R38,IF(S41&gt;3,M38,""))))</f>
        <v>GILLOT PIERRE</v>
      </c>
      <c r="N54" s="217"/>
      <c r="O54" s="217"/>
      <c r="P54" s="216"/>
      <c r="Q54" s="216"/>
    </row>
    <row r="55" s="183" customFormat="true" ht="22" hidden="false" customHeight="true" outlineLevel="1" collapsed="false">
      <c r="F55" s="214"/>
      <c r="G55" s="214"/>
      <c r="H55" s="217" t="str">
        <f aca="false">IF(C41="","",IF(I41="","",IF(C41&gt;3,H39,IF(I41&gt;3,C39,""))))</f>
        <v>CALME ROMAIN</v>
      </c>
      <c r="I55" s="217"/>
      <c r="J55" s="217"/>
      <c r="K55" s="220" t="n">
        <v>17</v>
      </c>
      <c r="L55" s="221" t="n">
        <v>18</v>
      </c>
      <c r="M55" s="217" t="str">
        <f aca="false">IF(M41="","",IF(S41="","",IF(M41&gt;3,R39,IF(S41&gt;3,M39,""))))</f>
        <v>CHAMBRY JUSTINE</v>
      </c>
      <c r="N55" s="217"/>
      <c r="O55" s="217"/>
      <c r="P55" s="216"/>
      <c r="Q55" s="216"/>
    </row>
    <row r="56" s="183" customFormat="true" ht="22" hidden="false" customHeight="true" outlineLevel="1" collapsed="false">
      <c r="F56" s="214"/>
      <c r="G56" s="214"/>
      <c r="H56" s="217" t="str">
        <f aca="false">IF(C41="","",IF(I41="","",IF(C41&gt;3,H40,IF(I41&gt;3,C40,""))))</f>
        <v>WILLEMIN LUDOVIC</v>
      </c>
      <c r="I56" s="217"/>
      <c r="J56" s="217"/>
      <c r="K56" s="222" t="n">
        <v>19</v>
      </c>
      <c r="L56" s="223" t="n">
        <v>21</v>
      </c>
      <c r="M56" s="217" t="str">
        <f aca="false">IF(M41="","",IF(S41="","",IF(M41&gt;3,R40,IF(S41&gt;3,M40,""))))</f>
        <v>TACHET JEAN-MICHEL</v>
      </c>
      <c r="N56" s="217"/>
      <c r="O56" s="217"/>
      <c r="P56" s="216"/>
      <c r="Q56" s="216"/>
    </row>
    <row r="57" customFormat="false" ht="22" hidden="false" customHeight="true" outlineLevel="0" collapsed="false">
      <c r="G57" s="192" t="n">
        <f aca="false">IF(J57="","",IF(J57&gt;2,1,0))</f>
        <v>1</v>
      </c>
      <c r="H57" s="193" t="n">
        <f aca="false">IF(J57="","",SUM(G57:G63))</f>
        <v>4</v>
      </c>
      <c r="I57" s="193"/>
      <c r="J57" s="194" t="n">
        <v>3</v>
      </c>
      <c r="K57" s="195"/>
      <c r="L57" s="195"/>
      <c r="M57" s="194" t="n">
        <v>2</v>
      </c>
      <c r="N57" s="196" t="n">
        <f aca="false">IF(H35="",IF(M51="","",4),IF(M57="","",SUM(P57:P63)))</f>
        <v>2</v>
      </c>
      <c r="O57" s="196"/>
      <c r="P57" s="197" t="n">
        <f aca="false">IF(M57="","",IF(M57&gt;2,1,0))</f>
        <v>0</v>
      </c>
    </row>
    <row r="58" customFormat="false" ht="22" hidden="false" customHeight="true" outlineLevel="0" collapsed="false">
      <c r="G58" s="192" t="n">
        <f aca="false">IF(J58="","",IF(J58&gt;2,1,0))</f>
        <v>0</v>
      </c>
      <c r="H58" s="193"/>
      <c r="I58" s="193"/>
      <c r="J58" s="199" t="n">
        <v>1</v>
      </c>
      <c r="K58" s="200"/>
      <c r="L58" s="200"/>
      <c r="M58" s="199" t="n">
        <v>4</v>
      </c>
      <c r="N58" s="196"/>
      <c r="O58" s="196"/>
      <c r="P58" s="197" t="n">
        <f aca="false">IF(M58="","",IF(M58&gt;2,1,0))</f>
        <v>1</v>
      </c>
    </row>
    <row r="59" customFormat="false" ht="22" hidden="false" customHeight="true" outlineLevel="0" collapsed="false">
      <c r="G59" s="192" t="n">
        <f aca="false">IF(J59="","",IF(J59&gt;2,1,0))</f>
        <v>1</v>
      </c>
      <c r="H59" s="193"/>
      <c r="I59" s="193"/>
      <c r="J59" s="199" t="n">
        <v>5</v>
      </c>
      <c r="K59" s="200"/>
      <c r="L59" s="200"/>
      <c r="M59" s="199" t="n">
        <v>0</v>
      </c>
      <c r="N59" s="196"/>
      <c r="O59" s="196"/>
      <c r="P59" s="197" t="n">
        <f aca="false">IF(M59="","",IF(M59&gt;2,1,0))</f>
        <v>0</v>
      </c>
    </row>
    <row r="60" customFormat="false" ht="22" hidden="false" customHeight="true" outlineLevel="0" collapsed="false">
      <c r="G60" s="192" t="n">
        <f aca="false">IF(J60="","",IF(J60&gt;2,1,0))</f>
        <v>1</v>
      </c>
      <c r="H60" s="193"/>
      <c r="I60" s="193"/>
      <c r="J60" s="199" t="n">
        <v>3</v>
      </c>
      <c r="K60" s="200"/>
      <c r="L60" s="200"/>
      <c r="M60" s="199" t="n">
        <v>2</v>
      </c>
      <c r="N60" s="196"/>
      <c r="O60" s="196"/>
      <c r="P60" s="197" t="n">
        <f aca="false">IF(M60="","",IF(M60&gt;2,1,0))</f>
        <v>0</v>
      </c>
    </row>
    <row r="61" customFormat="false" ht="22" hidden="false" customHeight="true" outlineLevel="0" collapsed="false">
      <c r="G61" s="192" t="n">
        <f aca="false">IF(J61="","",IF(J61&gt;2,1,0))</f>
        <v>0</v>
      </c>
      <c r="H61" s="193"/>
      <c r="I61" s="193"/>
      <c r="J61" s="199" t="n">
        <v>2</v>
      </c>
      <c r="K61" s="200"/>
      <c r="L61" s="200"/>
      <c r="M61" s="199" t="n">
        <v>3</v>
      </c>
      <c r="N61" s="196"/>
      <c r="O61" s="196"/>
      <c r="P61" s="197" t="n">
        <f aca="false">IF(M61="","",IF(M61&gt;2,1,0))</f>
        <v>1</v>
      </c>
    </row>
    <row r="62" customFormat="false" ht="22" hidden="false" customHeight="true" outlineLevel="0" collapsed="false">
      <c r="G62" s="192" t="n">
        <f aca="false">IF(J62="","",IF(J62&gt;2,1,0))</f>
        <v>1</v>
      </c>
      <c r="H62" s="193"/>
      <c r="I62" s="193"/>
      <c r="J62" s="199" t="n">
        <v>4</v>
      </c>
      <c r="K62" s="200"/>
      <c r="L62" s="200"/>
      <c r="M62" s="199" t="n">
        <v>1</v>
      </c>
      <c r="N62" s="196"/>
      <c r="O62" s="196"/>
      <c r="P62" s="197" t="n">
        <f aca="false">IF(M62="","",IF(M62&gt;2,1,0))</f>
        <v>0</v>
      </c>
    </row>
    <row r="63" customFormat="false" ht="22" hidden="false" customHeight="true" outlineLevel="0" collapsed="false">
      <c r="G63" s="192" t="str">
        <f aca="false">IF(J63="","",IF(J63&gt;2,1,0))</f>
        <v/>
      </c>
      <c r="H63" s="193"/>
      <c r="I63" s="193"/>
      <c r="J63" s="201"/>
      <c r="K63" s="200"/>
      <c r="L63" s="200"/>
      <c r="M63" s="201"/>
      <c r="N63" s="196"/>
      <c r="O63" s="196"/>
      <c r="P63" s="197" t="str">
        <f aca="false">IF(M63="","",IF(M63&gt;2,1,0))</f>
        <v/>
      </c>
    </row>
    <row r="64" customFormat="false" ht="60" hidden="false" customHeight="true" outlineLevel="0" collapsed="false">
      <c r="B64" s="198"/>
      <c r="C64" s="198"/>
      <c r="D64" s="198"/>
      <c r="E64" s="198"/>
      <c r="F64" s="198"/>
      <c r="G64" s="213"/>
      <c r="H64" s="213" t="s">
        <v>114</v>
      </c>
      <c r="I64" s="213"/>
      <c r="J64" s="213"/>
      <c r="K64" s="213"/>
      <c r="L64" s="213"/>
      <c r="M64" s="213"/>
      <c r="N64" s="213"/>
      <c r="O64" s="213"/>
      <c r="P64" s="198"/>
      <c r="Q64" s="198"/>
      <c r="R64" s="198"/>
      <c r="S64" s="198"/>
      <c r="T64" s="198"/>
      <c r="U64" s="198"/>
    </row>
    <row r="65" customFormat="false" ht="28" hidden="false" customHeight="true" outlineLevel="0" collapsed="false">
      <c r="A65" s="198"/>
      <c r="F65" s="214"/>
      <c r="G65" s="214"/>
      <c r="H65" s="224" t="str">
        <f aca="false">IF(H35="",C35,IF(C41="","",IF(I41="","",IF(C41&gt;3,C35,IF(I41&gt;3,H35,"")))))</f>
        <v>THAON</v>
      </c>
      <c r="I65" s="224"/>
      <c r="J65" s="224"/>
      <c r="K65" s="181" t="s">
        <v>25</v>
      </c>
      <c r="L65" s="181"/>
      <c r="M65" s="224" t="str">
        <f aca="false">IF(M35="",R35,IF(M41="","",IF(S41="","",IF(M41&gt;3,M35,IF(S41&gt;3,R35,"")))))</f>
        <v>EPINAL</v>
      </c>
      <c r="N65" s="224"/>
      <c r="O65" s="224"/>
      <c r="P65" s="216"/>
      <c r="Q65" s="216"/>
    </row>
    <row r="66" customFormat="false" ht="22" hidden="false" customHeight="true" outlineLevel="1" collapsed="false">
      <c r="A66" s="198"/>
      <c r="F66" s="214"/>
      <c r="G66" s="214"/>
      <c r="H66" s="225" t="str">
        <f aca="false">IF(H36="",C36,IF(C41="","",IF(I41="","",IF(C41&gt;3,C36,IF(I41&gt;3,H36,"")))))</f>
        <v>TABOUREUX ADRIEN</v>
      </c>
      <c r="I66" s="225"/>
      <c r="J66" s="225"/>
      <c r="K66" s="226" t="n">
        <v>11</v>
      </c>
      <c r="L66" s="227" t="n">
        <v>12</v>
      </c>
      <c r="M66" s="225" t="str">
        <f aca="false">IF(M36="",R36,IF(M41="","",IF(S41="","",IF(M41&gt;3,M36,IF(S41&gt;3,R36,"")))))</f>
        <v>BRIQUE ZACCHARY</v>
      </c>
      <c r="N66" s="225"/>
      <c r="O66" s="225"/>
      <c r="P66" s="216"/>
      <c r="Q66" s="216"/>
    </row>
    <row r="67" customFormat="false" ht="22" hidden="false" customHeight="true" outlineLevel="1" collapsed="false">
      <c r="A67" s="198"/>
      <c r="F67" s="214"/>
      <c r="G67" s="214"/>
      <c r="H67" s="225" t="str">
        <f aca="false">IF(H37="",C37,IF(C41="","",IF(I41="","",IF(C41&gt;3,C37,IF(I41&gt;3,H37,"")))))</f>
        <v>TABOUREUX CHRISTOPHE</v>
      </c>
      <c r="I67" s="225"/>
      <c r="J67" s="225"/>
      <c r="K67" s="228" t="n">
        <v>13</v>
      </c>
      <c r="L67" s="229" t="n">
        <v>14</v>
      </c>
      <c r="M67" s="225" t="str">
        <f aca="false">IF(M37="",R37,IF(M41="","",IF(S41="","",IF(M41&gt;3,M37,IF(S41&gt;3,R37,"")))))</f>
        <v>GONELLY GAETAN</v>
      </c>
      <c r="N67" s="225"/>
      <c r="O67" s="225"/>
      <c r="P67" s="216"/>
      <c r="Q67" s="216"/>
    </row>
    <row r="68" customFormat="false" ht="22" hidden="false" customHeight="true" outlineLevel="1" collapsed="false">
      <c r="A68" s="198"/>
      <c r="F68" s="214"/>
      <c r="G68" s="214"/>
      <c r="H68" s="225" t="str">
        <f aca="false">IF(H38="",C38,IF(C41="","",IF(I41="","",IF(C41&gt;3,C38,IF(I41&gt;3,H38,"")))))</f>
        <v>PARISSE ALEXANDRE</v>
      </c>
      <c r="I68" s="225"/>
      <c r="J68" s="225"/>
      <c r="K68" s="228" t="n">
        <v>15</v>
      </c>
      <c r="L68" s="229" t="n">
        <v>16</v>
      </c>
      <c r="M68" s="225" t="str">
        <f aca="false">IF(M38="",R38,IF(M41="","",IF(S41="","",IF(M41&gt;3,M38,IF(S41&gt;3,R38,"")))))</f>
        <v>GRAEBLING SOLENA</v>
      </c>
      <c r="N68" s="225"/>
      <c r="O68" s="225"/>
      <c r="P68" s="216"/>
      <c r="Q68" s="216"/>
    </row>
    <row r="69" customFormat="false" ht="22" hidden="false" customHeight="true" outlineLevel="1" collapsed="false">
      <c r="A69" s="198"/>
      <c r="F69" s="214"/>
      <c r="G69" s="214"/>
      <c r="H69" s="225" t="str">
        <f aca="false">IF(H39="",C39,IF(C41="","",IF(I41="","",IF(C41&gt;3,C39,IF(I41&gt;3,H39,"")))))</f>
        <v>TABOUREUX ANNE</v>
      </c>
      <c r="I69" s="225"/>
      <c r="J69" s="225"/>
      <c r="K69" s="228" t="n">
        <v>17</v>
      </c>
      <c r="L69" s="229" t="n">
        <v>18</v>
      </c>
      <c r="M69" s="225" t="str">
        <f aca="false">IF(M39="",R39,IF(M41="","",IF(S41="","",IF(M41&gt;3,M39,IF(S41&gt;3,R39,"")))))</f>
        <v>FOLLIOT JEROME</v>
      </c>
      <c r="N69" s="225"/>
      <c r="O69" s="225"/>
      <c r="P69" s="216"/>
      <c r="Q69" s="216"/>
    </row>
    <row r="70" customFormat="false" ht="22" hidden="false" customHeight="true" outlineLevel="1" collapsed="false">
      <c r="A70" s="198"/>
      <c r="F70" s="214"/>
      <c r="G70" s="214"/>
      <c r="H70" s="225" t="str">
        <f aca="false">IF(H40="",C40,IF(C41="","",IF(I41="","",IF(C41&gt;3,C40,IF(I41&gt;3,H40,"")))))</f>
        <v>FRAYARD LAURENCE</v>
      </c>
      <c r="I70" s="225"/>
      <c r="J70" s="225"/>
      <c r="K70" s="230" t="n">
        <v>19</v>
      </c>
      <c r="L70" s="231" t="n">
        <v>21</v>
      </c>
      <c r="M70" s="225" t="str">
        <f aca="false">IF(M40="",R40,IF(M41="","",IF(S41="","",IF(M41&gt;3,M40,IF(S41&gt;3,R40,"")))))</f>
        <v>SIMONETTI FLORENT</v>
      </c>
      <c r="N70" s="225"/>
      <c r="O70" s="225"/>
      <c r="P70" s="216"/>
      <c r="Q70" s="216"/>
    </row>
    <row r="71" customFormat="false" ht="22" hidden="false" customHeight="true" outlineLevel="0" collapsed="false">
      <c r="A71" s="198"/>
      <c r="G71" s="212" t="n">
        <f aca="false">IF(J71="","",IF(J71&gt;2,1,0))</f>
        <v>1</v>
      </c>
      <c r="H71" s="193" t="n">
        <f aca="false">IF(J71="","",SUM(G71:G77))</f>
        <v>4</v>
      </c>
      <c r="I71" s="193"/>
      <c r="J71" s="194" t="n">
        <v>3</v>
      </c>
      <c r="K71" s="195"/>
      <c r="L71" s="195"/>
      <c r="M71" s="194" t="n">
        <v>2</v>
      </c>
      <c r="N71" s="196" t="n">
        <f aca="false">IF(M71="","",SUM(P71:P77))</f>
        <v>0</v>
      </c>
      <c r="O71" s="196"/>
      <c r="P71" s="197" t="n">
        <f aca="false">IF(M71="","",IF(M71&gt;2,1,0))</f>
        <v>0</v>
      </c>
    </row>
    <row r="72" customFormat="false" ht="22" hidden="false" customHeight="true" outlineLevel="0" collapsed="false">
      <c r="A72" s="198"/>
      <c r="G72" s="212" t="n">
        <f aca="false">IF(J72="","",IF(J72&gt;2,1,0))</f>
        <v>1</v>
      </c>
      <c r="H72" s="193"/>
      <c r="I72" s="193"/>
      <c r="J72" s="199" t="n">
        <v>3</v>
      </c>
      <c r="K72" s="200"/>
      <c r="L72" s="200"/>
      <c r="M72" s="199" t="n">
        <v>2</v>
      </c>
      <c r="N72" s="196"/>
      <c r="O72" s="196"/>
      <c r="P72" s="197" t="n">
        <f aca="false">IF(M72="","",IF(M72&gt;2,1,0))</f>
        <v>0</v>
      </c>
    </row>
    <row r="73" customFormat="false" ht="22" hidden="false" customHeight="true" outlineLevel="0" collapsed="false">
      <c r="A73" s="198"/>
      <c r="G73" s="212" t="n">
        <f aca="false">IF(J73="","",IF(J73&gt;2,1,0))</f>
        <v>1</v>
      </c>
      <c r="H73" s="193"/>
      <c r="I73" s="193"/>
      <c r="J73" s="199" t="n">
        <v>4</v>
      </c>
      <c r="K73" s="200"/>
      <c r="L73" s="200"/>
      <c r="M73" s="199" t="n">
        <v>1</v>
      </c>
      <c r="N73" s="196"/>
      <c r="O73" s="196"/>
      <c r="P73" s="197" t="n">
        <f aca="false">IF(M73="","",IF(M73&gt;2,1,0))</f>
        <v>0</v>
      </c>
    </row>
    <row r="74" customFormat="false" ht="22" hidden="false" customHeight="true" outlineLevel="0" collapsed="false">
      <c r="A74" s="198"/>
      <c r="G74" s="212" t="n">
        <f aca="false">IF(J74="","",IF(J74&gt;2,1,0))</f>
        <v>1</v>
      </c>
      <c r="H74" s="193"/>
      <c r="I74" s="193"/>
      <c r="J74" s="199" t="n">
        <v>4</v>
      </c>
      <c r="K74" s="200"/>
      <c r="L74" s="200"/>
      <c r="M74" s="199" t="n">
        <v>1</v>
      </c>
      <c r="N74" s="196"/>
      <c r="O74" s="196"/>
      <c r="P74" s="197" t="n">
        <f aca="false">IF(M74="","",IF(M74&gt;2,1,0))</f>
        <v>0</v>
      </c>
    </row>
    <row r="75" customFormat="false" ht="22" hidden="false" customHeight="true" outlineLevel="0" collapsed="false">
      <c r="A75" s="198"/>
      <c r="G75" s="212" t="str">
        <f aca="false">IF(J75="","",IF(J75&gt;2,1,0))</f>
        <v/>
      </c>
      <c r="H75" s="193"/>
      <c r="I75" s="193"/>
      <c r="J75" s="199"/>
      <c r="K75" s="200"/>
      <c r="L75" s="200"/>
      <c r="M75" s="199"/>
      <c r="N75" s="196"/>
      <c r="O75" s="196"/>
      <c r="P75" s="197" t="str">
        <f aca="false">IF(M75="","",IF(M75&gt;2,1,0))</f>
        <v/>
      </c>
    </row>
    <row r="76" customFormat="false" ht="22" hidden="false" customHeight="true" outlineLevel="0" collapsed="false">
      <c r="A76" s="198"/>
      <c r="G76" s="212" t="str">
        <f aca="false">IF(J76="","",IF(J76&gt;2,1,0))</f>
        <v/>
      </c>
      <c r="H76" s="193"/>
      <c r="I76" s="193"/>
      <c r="J76" s="199"/>
      <c r="K76" s="200"/>
      <c r="L76" s="200"/>
      <c r="M76" s="199"/>
      <c r="N76" s="196"/>
      <c r="O76" s="196"/>
      <c r="P76" s="197" t="str">
        <f aca="false">IF(M76="","",IF(M76&gt;2,1,0))</f>
        <v/>
      </c>
    </row>
    <row r="77" customFormat="false" ht="22" hidden="false" customHeight="true" outlineLevel="0" collapsed="false">
      <c r="A77" s="198"/>
      <c r="G77" s="212" t="str">
        <f aca="false">IF(J77="","",IF(J77&gt;2,1,0))</f>
        <v/>
      </c>
      <c r="H77" s="193"/>
      <c r="I77" s="193"/>
      <c r="J77" s="201"/>
      <c r="K77" s="200"/>
      <c r="L77" s="200"/>
      <c r="M77" s="201"/>
      <c r="N77" s="196"/>
      <c r="O77" s="196"/>
      <c r="P77" s="197" t="str">
        <f aca="false">IF(M77="","",IF(M77&gt;2,1,0))</f>
        <v/>
      </c>
    </row>
  </sheetData>
  <sheetProtection sheet="true" password="cf6d" objects="true" scenarios="true" formatColumns="false" selectLockedCells="true"/>
  <mergeCells count="186">
    <mergeCell ref="B2:U2"/>
    <mergeCell ref="B3:U3"/>
    <mergeCell ref="B4:U4"/>
    <mergeCell ref="C5:E5"/>
    <mergeCell ref="F5:G5"/>
    <mergeCell ref="H5:J5"/>
    <mergeCell ref="M5:O5"/>
    <mergeCell ref="P5:Q5"/>
    <mergeCell ref="R5:T5"/>
    <mergeCell ref="C6:E6"/>
    <mergeCell ref="H6:J6"/>
    <mergeCell ref="M6:O6"/>
    <mergeCell ref="R6:T6"/>
    <mergeCell ref="C7:E7"/>
    <mergeCell ref="H7:J7"/>
    <mergeCell ref="M7:O7"/>
    <mergeCell ref="R7:T7"/>
    <mergeCell ref="C8:E8"/>
    <mergeCell ref="H8:J8"/>
    <mergeCell ref="M8:O8"/>
    <mergeCell ref="R8:T8"/>
    <mergeCell ref="C9:E9"/>
    <mergeCell ref="H9:J9"/>
    <mergeCell ref="M9:O9"/>
    <mergeCell ref="R9:T9"/>
    <mergeCell ref="C10:E10"/>
    <mergeCell ref="H10:J10"/>
    <mergeCell ref="M10:O10"/>
    <mergeCell ref="R10:T10"/>
    <mergeCell ref="C11:D17"/>
    <mergeCell ref="F11:G11"/>
    <mergeCell ref="I11:J17"/>
    <mergeCell ref="M11:N17"/>
    <mergeCell ref="P11:Q11"/>
    <mergeCell ref="S11:T17"/>
    <mergeCell ref="F12:G12"/>
    <mergeCell ref="P12:Q12"/>
    <mergeCell ref="F13:G13"/>
    <mergeCell ref="P13:Q13"/>
    <mergeCell ref="F14:G14"/>
    <mergeCell ref="P14:Q14"/>
    <mergeCell ref="F15:G15"/>
    <mergeCell ref="P15:Q15"/>
    <mergeCell ref="F16:G16"/>
    <mergeCell ref="P16:Q16"/>
    <mergeCell ref="F17:G17"/>
    <mergeCell ref="P17:Q17"/>
    <mergeCell ref="C19:E19"/>
    <mergeCell ref="F19:G19"/>
    <mergeCell ref="H19:J19"/>
    <mergeCell ref="M19:O19"/>
    <mergeCell ref="P19:Q19"/>
    <mergeCell ref="R19:T19"/>
    <mergeCell ref="C20:E20"/>
    <mergeCell ref="H20:J20"/>
    <mergeCell ref="M20:O20"/>
    <mergeCell ref="R20:T20"/>
    <mergeCell ref="C21:E21"/>
    <mergeCell ref="H21:J21"/>
    <mergeCell ref="M21:O21"/>
    <mergeCell ref="R21:T21"/>
    <mergeCell ref="C22:E22"/>
    <mergeCell ref="H22:J22"/>
    <mergeCell ref="M22:O22"/>
    <mergeCell ref="R22:T22"/>
    <mergeCell ref="C23:E23"/>
    <mergeCell ref="H23:J23"/>
    <mergeCell ref="M23:O23"/>
    <mergeCell ref="R23:T23"/>
    <mergeCell ref="C24:E24"/>
    <mergeCell ref="H24:J24"/>
    <mergeCell ref="M24:O24"/>
    <mergeCell ref="R24:T24"/>
    <mergeCell ref="C25:D31"/>
    <mergeCell ref="F25:G25"/>
    <mergeCell ref="I25:J31"/>
    <mergeCell ref="M25:N31"/>
    <mergeCell ref="P25:Q25"/>
    <mergeCell ref="S25:T31"/>
    <mergeCell ref="F26:G26"/>
    <mergeCell ref="P26:Q26"/>
    <mergeCell ref="F27:G27"/>
    <mergeCell ref="P27:Q27"/>
    <mergeCell ref="F28:G28"/>
    <mergeCell ref="P28:Q28"/>
    <mergeCell ref="F29:G29"/>
    <mergeCell ref="P29:Q29"/>
    <mergeCell ref="F30:G30"/>
    <mergeCell ref="P30:Q30"/>
    <mergeCell ref="F31:G31"/>
    <mergeCell ref="P31:Q31"/>
    <mergeCell ref="B34:U34"/>
    <mergeCell ref="C35:E35"/>
    <mergeCell ref="F35:G35"/>
    <mergeCell ref="H35:J35"/>
    <mergeCell ref="M35:O35"/>
    <mergeCell ref="P35:Q35"/>
    <mergeCell ref="R35:T35"/>
    <mergeCell ref="C36:E36"/>
    <mergeCell ref="H36:J36"/>
    <mergeCell ref="M36:O36"/>
    <mergeCell ref="R36:T36"/>
    <mergeCell ref="C37:E37"/>
    <mergeCell ref="H37:J37"/>
    <mergeCell ref="M37:O37"/>
    <mergeCell ref="R37:T37"/>
    <mergeCell ref="C38:E38"/>
    <mergeCell ref="H38:J38"/>
    <mergeCell ref="M38:O38"/>
    <mergeCell ref="R38:T38"/>
    <mergeCell ref="C39:E39"/>
    <mergeCell ref="H39:J39"/>
    <mergeCell ref="M39:O39"/>
    <mergeCell ref="R39:T39"/>
    <mergeCell ref="C40:E40"/>
    <mergeCell ref="H40:J40"/>
    <mergeCell ref="M40:O40"/>
    <mergeCell ref="R40:T40"/>
    <mergeCell ref="C41:D47"/>
    <mergeCell ref="F41:G41"/>
    <mergeCell ref="I41:J47"/>
    <mergeCell ref="M41:N47"/>
    <mergeCell ref="P41:Q41"/>
    <mergeCell ref="S41:T47"/>
    <mergeCell ref="F42:G42"/>
    <mergeCell ref="P42:Q42"/>
    <mergeCell ref="F43:G43"/>
    <mergeCell ref="P43:Q43"/>
    <mergeCell ref="F44:G44"/>
    <mergeCell ref="P44:Q44"/>
    <mergeCell ref="F45:G45"/>
    <mergeCell ref="P45:Q45"/>
    <mergeCell ref="F46:G46"/>
    <mergeCell ref="P46:Q46"/>
    <mergeCell ref="F47:G47"/>
    <mergeCell ref="P47:Q47"/>
    <mergeCell ref="H50:O50"/>
    <mergeCell ref="F51:G56"/>
    <mergeCell ref="H51:J51"/>
    <mergeCell ref="K51:L51"/>
    <mergeCell ref="M51:O51"/>
    <mergeCell ref="P51:Q56"/>
    <mergeCell ref="H52:J52"/>
    <mergeCell ref="M52:O52"/>
    <mergeCell ref="H53:J53"/>
    <mergeCell ref="M53:O53"/>
    <mergeCell ref="H54:J54"/>
    <mergeCell ref="M54:O54"/>
    <mergeCell ref="H55:J55"/>
    <mergeCell ref="M55:O55"/>
    <mergeCell ref="H56:J56"/>
    <mergeCell ref="M56:O56"/>
    <mergeCell ref="H57:I63"/>
    <mergeCell ref="K57:L57"/>
    <mergeCell ref="N57:O63"/>
    <mergeCell ref="K58:L58"/>
    <mergeCell ref="K59:L59"/>
    <mergeCell ref="K60:L60"/>
    <mergeCell ref="K61:L61"/>
    <mergeCell ref="K62:L62"/>
    <mergeCell ref="K63:L63"/>
    <mergeCell ref="H64:O64"/>
    <mergeCell ref="F65:G70"/>
    <mergeCell ref="H65:J65"/>
    <mergeCell ref="K65:L65"/>
    <mergeCell ref="M65:O65"/>
    <mergeCell ref="P65:Q70"/>
    <mergeCell ref="H66:J66"/>
    <mergeCell ref="M66:O66"/>
    <mergeCell ref="H67:J67"/>
    <mergeCell ref="M67:O67"/>
    <mergeCell ref="H68:J68"/>
    <mergeCell ref="M68:O68"/>
    <mergeCell ref="H69:J69"/>
    <mergeCell ref="M69:O69"/>
    <mergeCell ref="H70:J70"/>
    <mergeCell ref="M70:O70"/>
    <mergeCell ref="H71:I77"/>
    <mergeCell ref="K71:L71"/>
    <mergeCell ref="N71:O77"/>
    <mergeCell ref="K72:L72"/>
    <mergeCell ref="K73:L73"/>
    <mergeCell ref="K74:L74"/>
    <mergeCell ref="K75:L75"/>
    <mergeCell ref="K76:L76"/>
    <mergeCell ref="K77:L77"/>
  </mergeCells>
  <conditionalFormatting sqref="F65:F70 P65:P70">
    <cfRule type="cellIs" priority="2" operator="equal" aboveAverage="0" equalAverage="0" bottom="0" percent="0" rank="0" text="" dxfId="9">
      <formula>"1"</formula>
    </cfRule>
    <cfRule type="cellIs" priority="3" operator="equal" aboveAverage="0" equalAverage="0" bottom="0" percent="0" rank="0" text="" dxfId="10">
      <formula>"2"</formula>
    </cfRule>
  </conditionalFormatting>
  <conditionalFormatting sqref="P51:P56 F51:F56">
    <cfRule type="cellIs" priority="4" operator="equal" aboveAverage="0" equalAverage="0" bottom="0" percent="0" rank="0" text="" dxfId="11">
      <formula>"3"</formula>
    </cfRule>
  </conditionalFormatting>
  <conditionalFormatting sqref="E41:E47 H41:H47 O41:O47 R41:R47">
    <cfRule type="cellIs" priority="5" operator="greaterThanOrEqual" aboveAverage="0" equalAverage="0" bottom="0" percent="0" rank="0" text="" dxfId="12">
      <formula>3</formula>
    </cfRule>
  </conditionalFormatting>
  <conditionalFormatting sqref="E25:E31 H25:H31 O25:O31 R25:R31 O11:O17 R11:R17 H11:H17 E11:E17">
    <cfRule type="cellIs" priority="6" operator="greaterThanOrEqual" aboveAverage="0" equalAverage="0" bottom="0" percent="0" rank="0" text="" dxfId="13">
      <formula>3</formula>
    </cfRule>
  </conditionalFormatting>
  <conditionalFormatting sqref="C11:D17">
    <cfRule type="cellIs" priority="7" operator="greaterThanOrEqual" aboveAverage="0" equalAverage="0" bottom="0" percent="0" rank="0" text="" dxfId="14">
      <formula>4</formula>
    </cfRule>
    <cfRule type="cellIs" priority="8" operator="equal" aboveAverage="0" equalAverage="0" bottom="0" percent="0" rank="0" text="" dxfId="15">
      <formula>0</formula>
    </cfRule>
  </conditionalFormatting>
  <conditionalFormatting sqref="I11:J17 I25:J31 S11:T17 S25:T31 I41:J47 S41:T47 N71:O77 N57:O63">
    <cfRule type="cellIs" priority="9" operator="greaterThanOrEqual" aboveAverage="0" equalAverage="0" bottom="0" percent="0" rank="0" text="" dxfId="16">
      <formula>4</formula>
    </cfRule>
    <cfRule type="cellIs" priority="10" operator="equal" aboveAverage="0" equalAverage="0" bottom="0" percent="0" rank="0" text="" dxfId="17">
      <formula>0</formula>
    </cfRule>
  </conditionalFormatting>
  <conditionalFormatting sqref="C25:D31 M11:N17 M25:N31 C41:D47 H57:I63 M41:N47 H71:I77">
    <cfRule type="cellIs" priority="11" operator="greaterThanOrEqual" aboveAverage="0" equalAverage="0" bottom="0" percent="0" rank="0" text="" dxfId="18">
      <formula>4</formula>
    </cfRule>
    <cfRule type="cellIs" priority="12" operator="equal" aboveAverage="0" equalAverage="0" bottom="0" percent="0" rank="0" text="" dxfId="19">
      <formula>0</formula>
    </cfRule>
  </conditionalFormatting>
  <conditionalFormatting sqref="A1:AMJ3 A4 V4:AMJ4 A5:AMJ1048576">
    <cfRule type="containsErrors" priority="13" aboveAverage="0" equalAverage="0" bottom="0" percent="0" rank="0" text="" dxfId="20">
      <formula>ISERROR(A1)</formula>
    </cfRule>
  </conditionalFormatting>
  <conditionalFormatting sqref="H51:J56 M51:O56 M35:O40 R35:T40 H35:J40 C35:E40 H65:J70 M65:O70 M19:O24 R19:T24 H19:J24 C19:E24 H5:J10 C5:E10 M5:O10">
    <cfRule type="expression" priority="14" aboveAverage="0" equalAverage="0" bottom="0" percent="0" rank="0" text="" dxfId="21">
      <formula>LEN(TRIM(C5))=0</formula>
    </cfRule>
    <cfRule type="cellIs" priority="15" operator="equal" aboveAverage="0" equalAverage="0" bottom="0" percent="0" rank="0" text="" dxfId="22">
      <formula>0</formula>
    </cfRule>
  </conditionalFormatting>
  <conditionalFormatting sqref="R5:T10">
    <cfRule type="expression" priority="16" aboveAverage="0" equalAverage="0" bottom="0" percent="0" rank="0" text="" dxfId="23">
      <formula>LEN(TRIM(R5))=0</formula>
    </cfRule>
    <cfRule type="cellIs" priority="17" operator="equal" aboveAverage="0" equalAverage="0" bottom="0" percent="0" rank="0" text="" dxfId="24">
      <formula>0</formula>
    </cfRule>
  </conditionalFormatting>
  <conditionalFormatting sqref="J57:J63 M57:M63">
    <cfRule type="cellIs" priority="18" operator="greaterThanOrEqual" aboveAverage="0" equalAverage="0" bottom="0" percent="0" rank="0" text="" dxfId="25">
      <formula>3</formula>
    </cfRule>
  </conditionalFormatting>
  <conditionalFormatting sqref="J71:J77 M71:M77">
    <cfRule type="cellIs" priority="19" operator="greaterThanOrEqual" aboveAverage="0" equalAverage="0" bottom="0" percent="0" rank="0" text="" dxfId="26">
      <formula>3</formula>
    </cfRule>
  </conditionalFormatting>
  <printOptions headings="false" gridLines="false" gridLinesSet="true" horizontalCentered="true" verticalCentered="true"/>
  <pageMargins left="0.2" right="0.2" top="0.2" bottom="0.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1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:E16"/>
    </sheetView>
  </sheetViews>
  <sheetFormatPr defaultRowHeight="16" zeroHeight="false" outlineLevelRow="0" outlineLevelCol="1"/>
  <cols>
    <col collapsed="false" customWidth="true" hidden="false" outlineLevel="0" max="1" min="1" style="232" width="10.66"/>
    <col collapsed="false" customWidth="true" hidden="false" outlineLevel="0" max="2" min="2" style="232" width="62.5"/>
    <col collapsed="false" customWidth="true" hidden="false" outlineLevel="1" max="3" min="3" style="232" width="38.83"/>
    <col collapsed="false" customWidth="true" hidden="false" outlineLevel="0" max="4" min="4" style="232" width="20.66"/>
    <col collapsed="false" customWidth="true" hidden="false" outlineLevel="0" max="5" min="5" style="232" width="17.66"/>
    <col collapsed="false" customWidth="true" hidden="true" outlineLevel="0" max="6" min="6" style="232" width="6.17"/>
    <col collapsed="false" customWidth="true" hidden="false" outlineLevel="0" max="7" min="7" style="232" width="5.66"/>
    <col collapsed="false" customWidth="true" hidden="false" outlineLevel="0" max="8" min="8" style="232" width="8.66"/>
    <col collapsed="false" customWidth="true" hidden="false" outlineLevel="0" max="9" min="9" style="232" width="10.66"/>
    <col collapsed="false" customWidth="true" hidden="true" outlineLevel="1" max="10" min="10" style="232" width="47"/>
    <col collapsed="false" customWidth="true" hidden="true" outlineLevel="1" max="11" min="11" style="232" width="3.33"/>
    <col collapsed="false" customWidth="true" hidden="true" outlineLevel="1" max="12" min="12" style="232" width="29.5"/>
    <col collapsed="false" customWidth="true" hidden="true" outlineLevel="1" max="13" min="13" style="232" width="16.17"/>
    <col collapsed="false" customWidth="true" hidden="false" outlineLevel="0" max="14" min="14" style="232" width="10.66"/>
    <col collapsed="false" customWidth="true" hidden="false" outlineLevel="0" max="15" min="15" style="232" width="2.5"/>
    <col collapsed="false" customWidth="true" hidden="false" outlineLevel="0" max="1025" min="16" style="232" width="10.66"/>
  </cols>
  <sheetData>
    <row r="1" customFormat="false" ht="30" hidden="false" customHeight="true" outlineLevel="0" collapsed="false">
      <c r="A1" s="233" t="str">
        <f aca="false">CONCATENATE("PALMARES","  ",INFO!B6,"
","CHAMPIONNAT DE FRANCE DES CLUBS","
","10 METRES")</f>
        <v>PALMARES  2019-2020
CHAMPIONNAT DE FRANCE DES CLUBS
10 METRES</v>
      </c>
      <c r="B1" s="233"/>
      <c r="C1" s="233"/>
      <c r="D1" s="233"/>
      <c r="E1" s="233"/>
      <c r="F1" s="233"/>
      <c r="G1" s="233"/>
      <c r="H1" s="233"/>
      <c r="I1" s="234"/>
      <c r="J1" s="234"/>
      <c r="K1" s="235"/>
      <c r="L1" s="235"/>
      <c r="M1" s="235"/>
      <c r="N1" s="235"/>
      <c r="O1" s="236"/>
      <c r="P1" s="236"/>
    </row>
    <row r="2" customFormat="false" ht="40" hidden="false" customHeight="true" outlineLevel="0" collapsed="false">
      <c r="A2" s="233"/>
      <c r="B2" s="233"/>
      <c r="C2" s="233"/>
      <c r="D2" s="233"/>
      <c r="E2" s="233"/>
      <c r="F2" s="233"/>
      <c r="G2" s="233"/>
      <c r="H2" s="233"/>
      <c r="I2" s="234"/>
      <c r="J2" s="234"/>
      <c r="K2" s="235"/>
      <c r="L2" s="235"/>
      <c r="M2" s="235"/>
      <c r="N2" s="235"/>
      <c r="O2" s="237"/>
      <c r="P2" s="237"/>
    </row>
    <row r="3" customFormat="false" ht="40" hidden="false" customHeight="true" outlineLevel="0" collapsed="false">
      <c r="A3" s="233"/>
      <c r="B3" s="233"/>
      <c r="C3" s="233"/>
      <c r="D3" s="233"/>
      <c r="E3" s="233"/>
      <c r="F3" s="233"/>
      <c r="G3" s="233"/>
      <c r="H3" s="233"/>
      <c r="I3" s="234"/>
      <c r="J3" s="234"/>
      <c r="K3" s="235"/>
      <c r="L3" s="235"/>
      <c r="M3" s="235"/>
      <c r="N3" s="235"/>
      <c r="O3" s="237"/>
      <c r="P3" s="237"/>
    </row>
    <row r="4" s="241" customFormat="true" ht="60" hidden="false" customHeight="true" outlineLevel="0" collapsed="false">
      <c r="A4" s="238" t="str">
        <f aca="false">CONCATENATE(INFO!B7,"   ",INFO!B9)</f>
        <v>PISTOLET   LORRAINE</v>
      </c>
      <c r="B4" s="238"/>
      <c r="C4" s="238"/>
      <c r="D4" s="238"/>
      <c r="E4" s="238"/>
      <c r="F4" s="238"/>
      <c r="G4" s="238"/>
      <c r="H4" s="238"/>
      <c r="I4" s="239"/>
      <c r="J4" s="239"/>
      <c r="K4" s="235"/>
      <c r="L4" s="240"/>
      <c r="M4" s="240"/>
      <c r="N4" s="240"/>
      <c r="P4" s="242"/>
      <c r="Q4" s="243"/>
    </row>
    <row r="5" s="241" customFormat="true" ht="23" hidden="false" customHeight="true" outlineLevel="0" collapsed="false">
      <c r="A5" s="244"/>
      <c r="B5" s="244"/>
      <c r="C5" s="244"/>
      <c r="D5" s="244"/>
      <c r="E5" s="244"/>
      <c r="F5" s="244"/>
      <c r="G5" s="244"/>
      <c r="H5" s="244"/>
      <c r="I5" s="239"/>
      <c r="J5" s="245"/>
      <c r="K5" s="246"/>
      <c r="L5" s="240"/>
      <c r="M5" s="240"/>
      <c r="N5" s="240"/>
      <c r="P5" s="242"/>
      <c r="Q5" s="243"/>
    </row>
    <row r="6" s="241" customFormat="true" ht="15" hidden="false" customHeight="true" outlineLevel="0" collapsed="false">
      <c r="A6" s="247"/>
      <c r="B6" s="247"/>
      <c r="C6" s="247"/>
      <c r="D6" s="247"/>
      <c r="E6" s="247"/>
      <c r="F6" s="247"/>
      <c r="G6" s="247"/>
      <c r="H6" s="247"/>
      <c r="I6" s="239"/>
      <c r="J6" s="245"/>
      <c r="K6" s="246"/>
      <c r="L6" s="240"/>
      <c r="M6" s="240"/>
      <c r="N6" s="240"/>
      <c r="P6" s="242"/>
      <c r="Q6" s="243"/>
    </row>
    <row r="7" s="241" customFormat="true" ht="62" hidden="false" customHeight="true" outlineLevel="0" collapsed="false">
      <c r="A7" s="248" t="s">
        <v>115</v>
      </c>
      <c r="B7" s="249" t="s">
        <v>116</v>
      </c>
      <c r="C7" s="249" t="s">
        <v>117</v>
      </c>
      <c r="D7" s="249" t="s">
        <v>118</v>
      </c>
      <c r="E7" s="250" t="s">
        <v>119</v>
      </c>
      <c r="F7" s="251" t="s">
        <v>34</v>
      </c>
      <c r="G7" s="252"/>
      <c r="H7" s="253"/>
      <c r="J7" s="254"/>
      <c r="K7" s="255"/>
      <c r="L7" s="240"/>
      <c r="M7" s="240"/>
      <c r="N7" s="240"/>
      <c r="P7" s="242"/>
      <c r="Q7" s="243"/>
    </row>
    <row r="8" s="240" customFormat="true" ht="62" hidden="false" customHeight="true" outlineLevel="0" collapsed="false">
      <c r="A8" s="256" t="n">
        <v>1</v>
      </c>
      <c r="B8" s="257" t="str">
        <f aca="false">IF(A8="","",IF('P.F.'!J71="","",IF('P.F.'!H71&gt;3,'P.F.'!H65,IF('P.F.'!N71&gt;3,'P.F.'!M65,""))))</f>
        <v>THAON</v>
      </c>
      <c r="C8" s="257"/>
      <c r="D8" s="258" t="n">
        <f aca="false">IF(A8="","",IF(B8="","",VLOOKUP(B8,'M Q'!B$7:AI$14,2,0)))</f>
        <v>1288426</v>
      </c>
      <c r="E8" s="259" t="n">
        <f aca="false">IF(A8="","",IF(B8="","",VLOOKUP(B8,'M Q'!B$7:AI$14,33,0)))</f>
        <v>1331</v>
      </c>
      <c r="F8" s="260" t="n">
        <f aca="false">IF(A8="","",IF(B8="","",VLOOKUP(B8,'M Q'!B$7:AI$14,34,0)))</f>
        <v>0</v>
      </c>
      <c r="G8" s="261" t="s">
        <v>114</v>
      </c>
      <c r="H8" s="255"/>
      <c r="I8" s="255"/>
      <c r="J8" s="262"/>
      <c r="K8" s="262"/>
    </row>
    <row r="9" s="240" customFormat="true" ht="62" hidden="false" customHeight="true" outlineLevel="0" collapsed="false">
      <c r="A9" s="256" t="n">
        <f aca="false">IF(INFO!B8&gt;1,2,"")</f>
        <v>2</v>
      </c>
      <c r="B9" s="257" t="str">
        <f aca="false">IF(A9="","",IF('P.F.'!M71="","",IF('P.F.'!H71&gt;3,'P.F.'!M65,IF('P.F.'!N71&gt;3,'P.F.'!H65,""))))</f>
        <v>EPINAL</v>
      </c>
      <c r="C9" s="257"/>
      <c r="D9" s="258" t="n">
        <f aca="false">IF(A9="","",IF(B9="","",VLOOKUP(B9,'M Q'!B$7:AI$14,2,0)))</f>
        <v>1288421</v>
      </c>
      <c r="E9" s="259" t="n">
        <f aca="false">IF(A9="","",IF(B9="","",VLOOKUP(B9,'M Q'!B$7:AI$14,33,0)))</f>
        <v>1279</v>
      </c>
      <c r="F9" s="260" t="n">
        <f aca="false">IF(A9="","",IF(B9="","",VLOOKUP(B9,'M Q'!B$7:AI$14,34,0)))</f>
        <v>0</v>
      </c>
      <c r="G9" s="261"/>
      <c r="H9" s="255"/>
      <c r="I9" s="262"/>
      <c r="J9" s="262"/>
      <c r="K9" s="262"/>
    </row>
    <row r="10" s="240" customFormat="true" ht="62" hidden="false" customHeight="true" outlineLevel="0" collapsed="false">
      <c r="A10" s="256" t="n">
        <f aca="false">IF(INFO!B8&gt;2,3,"")</f>
        <v>3</v>
      </c>
      <c r="B10" s="263" t="str">
        <f aca="false">IF(A10="","",IF(INFO!B8=3,'P.F.'!M51,IF('P.F.'!J57="","",IF('P.F.'!H57&gt;3,'P.F.'!H51,IF('P.F.'!N57&gt;3,'P.F.'!M51,"")))))</f>
        <v>NEUFCHATEAU</v>
      </c>
      <c r="C10" s="263"/>
      <c r="D10" s="258" t="n">
        <f aca="false">IF(A10="","",IF(B10="","",VLOOKUP(B10,'M Q'!B$7:AI$14,2,0)))</f>
        <v>1288139</v>
      </c>
      <c r="E10" s="259" t="n">
        <f aca="false">IF(A10="","",IF(B10="","",VLOOKUP(B10,'M Q'!B$7:AI$14,33,0)))</f>
        <v>1292</v>
      </c>
      <c r="F10" s="260" t="n">
        <f aca="false">IF(A10="","",IF(B10="","",VLOOKUP(B10,'M Q'!B$7:AI$14,34,0)))</f>
        <v>0</v>
      </c>
      <c r="G10" s="264" t="s">
        <v>120</v>
      </c>
      <c r="H10" s="262"/>
      <c r="K10" s="262"/>
    </row>
    <row r="11" s="240" customFormat="true" ht="62" hidden="false" customHeight="true" outlineLevel="0" collapsed="false">
      <c r="A11" s="265" t="n">
        <f aca="false">IF(INFO!B8&gt;3,4,"")</f>
        <v>4</v>
      </c>
      <c r="B11" s="263" t="str">
        <f aca="false">IF(A11="","",IF('P.F.'!M57="","",IF('P.F.'!H57&gt;3,'P.F.'!M51,IF('P.F.'!N57&gt;3,'P.F.'!H51,""))))</f>
        <v>MOYENMOUTIER</v>
      </c>
      <c r="C11" s="263"/>
      <c r="D11" s="258" t="n">
        <f aca="false">IF(A11="","",IF(B11="","",VLOOKUP(B11,'M Q'!B$7:AI$14,2,0)))</f>
        <v>1288402</v>
      </c>
      <c r="E11" s="259" t="n">
        <f aca="false">IF(A11="","",IF(B11="","",VLOOKUP(B11,'M Q'!B$7:AI$14,33,0)))</f>
        <v>1312</v>
      </c>
      <c r="F11" s="260" t="n">
        <f aca="false">IF(A11="","",IF(B11="","",VLOOKUP(B11,'M Q'!B$7:AI$14,34,0)))</f>
        <v>0</v>
      </c>
      <c r="G11" s="264"/>
      <c r="H11" s="262"/>
      <c r="I11" s="262"/>
      <c r="J11" s="266" t="s">
        <v>121</v>
      </c>
      <c r="K11" s="266"/>
      <c r="L11" s="266"/>
      <c r="M11" s="266"/>
    </row>
    <row r="12" s="240" customFormat="true" ht="62" hidden="false" customHeight="true" outlineLevel="0" collapsed="false">
      <c r="A12" s="265" t="n">
        <f aca="false">IF(INFO!B8&gt;4,5,"")</f>
        <v>5</v>
      </c>
      <c r="B12" s="263" t="str">
        <f aca="false">IF(A12="","",VLOOKUP(E12,J$12:M$15,3,0))</f>
        <v>REMIREMONT</v>
      </c>
      <c r="C12" s="263"/>
      <c r="D12" s="267" t="n">
        <f aca="false">IF(A12="","",VLOOKUP(E12,J$12:M$15,4,0))</f>
        <v>1288404</v>
      </c>
      <c r="E12" s="268" t="n">
        <f aca="false">IF(A12="","",LARGE(J12:J15,1))</f>
        <v>1303.00000043743</v>
      </c>
      <c r="F12" s="260" t="n">
        <f aca="false">IF(A12="","",IF(B12="","",VLOOKUP(B12,'M Q'!B$7:AI$14,34,0)))</f>
        <v>0</v>
      </c>
      <c r="G12" s="269" t="s">
        <v>122</v>
      </c>
      <c r="I12" s="262"/>
      <c r="J12" s="270" t="n">
        <f aca="false">IF(L12="",0,VLOOKUP(L12,saisie!C$7:AL$26,36,0))</f>
        <v>1212.00000041539</v>
      </c>
      <c r="K12" s="271" t="n">
        <f aca="false">VLOOKUP(L12,saisie!C$7:AL$26,34,0)</f>
        <v>0</v>
      </c>
      <c r="L12" s="272" t="str">
        <f aca="false">IF('P.F.'!E11="","",IF('P.F.'!C11&gt;3,'P.F.'!H5,IF('P.F.'!I11&gt;3,'P.F.'!C5,"")))</f>
        <v>RAMBERVILLERS</v>
      </c>
      <c r="M12" s="271" t="n">
        <f aca="false">VLOOKUP(L12,saisie!C$7:AL$26,2,0)</f>
        <v>1288512</v>
      </c>
    </row>
    <row r="13" s="240" customFormat="true" ht="62" hidden="false" customHeight="true" outlineLevel="0" collapsed="false">
      <c r="A13" s="265" t="n">
        <f aca="false">IF(INFO!B8&gt;5,6,"")</f>
        <v>6</v>
      </c>
      <c r="B13" s="263" t="str">
        <f aca="false">IF(A13="","",VLOOKUP(E13,J$12:M$15,3,0))</f>
        <v>PLOMBIERES</v>
      </c>
      <c r="C13" s="263"/>
      <c r="D13" s="267" t="n">
        <f aca="false">IF(A13="","",VLOOKUP(E13,J$12:M$15,4,0))</f>
        <v>1288435</v>
      </c>
      <c r="E13" s="268" t="n">
        <f aca="false">IF(A13="","",LARGE(J12:J15,2))</f>
        <v>1279.00000044042</v>
      </c>
      <c r="F13" s="260" t="n">
        <f aca="false">IF(A13="","",IF(B13="","",VLOOKUP(B13,'M Q'!B$7:AI$14,34,0)))</f>
        <v>0</v>
      </c>
      <c r="G13" s="269"/>
      <c r="J13" s="270" t="n">
        <f aca="false">IF(L13="",0,VLOOKUP(L13,saisie!C$7:AL$26,36,0))</f>
        <v>1303.00000043743</v>
      </c>
      <c r="K13" s="271" t="n">
        <f aca="false">VLOOKUP(L13,saisie!C$7:AL$26,34,0)</f>
        <v>0</v>
      </c>
      <c r="L13" s="272" t="str">
        <f aca="false">IF('P.F.'!O11="","",IF('P.F.'!M11&gt;3,'P.F.'!R5,IF('P.F.'!S11&gt;3,'P.F.'!M5,"")))</f>
        <v>REMIREMONT</v>
      </c>
      <c r="M13" s="271" t="n">
        <f aca="false">VLOOKUP(L13,saisie!C$7:AL$26,2,0)</f>
        <v>1288404</v>
      </c>
    </row>
    <row r="14" s="240" customFormat="true" ht="62" hidden="false" customHeight="true" outlineLevel="0" collapsed="false">
      <c r="A14" s="273" t="n">
        <f aca="false">IF(INFO!B8&gt;6,7,"")</f>
        <v>7</v>
      </c>
      <c r="B14" s="263" t="str">
        <f aca="false">IF(A14="","",VLOOKUP(E14,J$12:M$15,3,0))</f>
        <v>VINCEY</v>
      </c>
      <c r="C14" s="263"/>
      <c r="D14" s="267" t="n">
        <f aca="false">IF(A14="","",VLOOKUP(E14,J$12:M$15,4,0))</f>
        <v>1288380</v>
      </c>
      <c r="E14" s="268" t="n">
        <f aca="false">IF(A14="","",LARGE(J12:J15,3))</f>
        <v>1245.00000042541</v>
      </c>
      <c r="F14" s="260" t="n">
        <f aca="false">IF(A14="","",IF(B14="","",VLOOKUP(B14,'M Q'!B$7:AI$14,34,0)))</f>
        <v>0</v>
      </c>
      <c r="G14" s="269"/>
      <c r="I14" s="262"/>
      <c r="J14" s="270" t="n">
        <f aca="false">IF(L14="",0,VLOOKUP(L14,saisie!C$7:AL$26,36,0))</f>
        <v>1279.00000044042</v>
      </c>
      <c r="K14" s="271" t="n">
        <f aca="false">VLOOKUP(L14,saisie!C$7:AL$26,34,0)</f>
        <v>0</v>
      </c>
      <c r="L14" s="272" t="str">
        <f aca="false">IF('P.F.'!H25="","",IF('P.F.'!C25&gt;3,'P.F.'!H19,IF('P.F.'!I25&gt;3,'P.F.'!C19,"")))</f>
        <v>PLOMBIERES</v>
      </c>
      <c r="M14" s="271" t="n">
        <f aca="false">VLOOKUP(L14,saisie!C$7:AL$26,2,0)</f>
        <v>1288435</v>
      </c>
      <c r="O14" s="262"/>
      <c r="P14" s="262"/>
    </row>
    <row r="15" s="240" customFormat="true" ht="62" hidden="false" customHeight="true" outlineLevel="0" collapsed="false">
      <c r="A15" s="265" t="n">
        <f aca="false">IF(INFO!B8&gt;7,8,"")</f>
        <v>8</v>
      </c>
      <c r="B15" s="263" t="str">
        <f aca="false">IF(A15="","",VLOOKUP(E15,J$12:M$15,3,0))</f>
        <v>RAMBERVILLERS</v>
      </c>
      <c r="C15" s="263"/>
      <c r="D15" s="267" t="n">
        <f aca="false">IF(A15="","",VLOOKUP(E15,J$12:M$15,4,0))</f>
        <v>1288512</v>
      </c>
      <c r="E15" s="268" t="n">
        <f aca="false">IF(A15="","",LARGE(J12:J15,4))</f>
        <v>1212.00000041539</v>
      </c>
      <c r="F15" s="260" t="n">
        <f aca="false">IF(A15="","",IF(B15="","",VLOOKUP(B15,'M Q'!B$7:AI$14,34,0)))</f>
        <v>0</v>
      </c>
      <c r="G15" s="269"/>
      <c r="I15" s="262"/>
      <c r="J15" s="270" t="n">
        <f aca="false">IF(L15="",0,VLOOKUP(L15,saisie!C$7:AL$26,36,0))</f>
        <v>1245.00000042541</v>
      </c>
      <c r="K15" s="271" t="n">
        <f aca="false">VLOOKUP(L15,saisie!C$7:AL$26,34,0)</f>
        <v>0</v>
      </c>
      <c r="L15" s="272" t="str">
        <f aca="false">IF('P.F.'!R25="","",IF('P.F.'!M25&gt;3,'P.F.'!R19,IF('P.F.'!S25&gt;3,'P.F.'!M19,"")))</f>
        <v>VINCEY</v>
      </c>
      <c r="M15" s="271" t="n">
        <f aca="false">VLOOKUP(L15,saisie!C$7:AL$26,2,0)</f>
        <v>1288380</v>
      </c>
      <c r="O15" s="255"/>
      <c r="P15" s="262"/>
      <c r="Q15" s="262"/>
    </row>
    <row r="16" s="240" customFormat="true" ht="62" hidden="false" customHeight="true" outlineLevel="0" collapsed="false">
      <c r="A16" s="265" t="n">
        <f aca="false">IF(INFO!B8&gt;8,9,"")</f>
        <v>9</v>
      </c>
      <c r="B16" s="263" t="str">
        <f aca="false">IF(A16="","",IF('M Q'!AE15="","",'M Q'!B15))</f>
        <v>LA BRESSE</v>
      </c>
      <c r="C16" s="263"/>
      <c r="D16" s="267" t="n">
        <f aca="false">IF(A16="","",IF('M Q'!AE15="","",'M Q'!C15))</f>
        <v>1288280</v>
      </c>
      <c r="E16" s="268" t="n">
        <f aca="false">IF(A16="","",IF('M Q'!AE15="","",'M Q'!AH15))</f>
        <v>1166</v>
      </c>
      <c r="F16" s="274" t="n">
        <f aca="false">IF(A16="","",IF('M Q'!AE15="","",'M Q'!AI15))</f>
        <v>0</v>
      </c>
      <c r="G16" s="262"/>
      <c r="I16" s="262"/>
      <c r="J16" s="262"/>
      <c r="K16" s="255"/>
      <c r="L16" s="255"/>
      <c r="M16" s="255"/>
      <c r="N16" s="255"/>
      <c r="O16" s="255"/>
      <c r="P16" s="262"/>
      <c r="Q16" s="262"/>
    </row>
    <row r="17" s="240" customFormat="true" ht="62" hidden="false" customHeight="true" outlineLevel="0" collapsed="false">
      <c r="A17" s="273" t="n">
        <f aca="false">IF(INFO!B8&gt;9,10,"")</f>
        <v>10</v>
      </c>
      <c r="B17" s="263" t="str">
        <f aca="false">IF(A17="","",IF('M Q'!AE16="","",'M Q'!B16))</f>
        <v>SAINT DIE</v>
      </c>
      <c r="C17" s="263"/>
      <c r="D17" s="267" t="n">
        <f aca="false">IF(A17="","",IF('M Q'!AE16="","",'M Q'!C16))</f>
        <v>1288083</v>
      </c>
      <c r="E17" s="275" t="n">
        <f aca="false">IF(A17="","",IF('M Q'!AE16="","",'M Q'!AH16))</f>
        <v>768</v>
      </c>
      <c r="F17" s="274" t="n">
        <f aca="false">IF(A17="","",IF('M Q'!AE16="","",'M Q'!AI16))</f>
        <v>0</v>
      </c>
      <c r="G17" s="262"/>
      <c r="I17" s="262"/>
      <c r="J17" s="276"/>
      <c r="K17" s="276"/>
      <c r="L17" s="276"/>
      <c r="M17" s="276"/>
      <c r="N17" s="255"/>
      <c r="O17" s="255"/>
      <c r="P17" s="262"/>
      <c r="Q17" s="262"/>
    </row>
    <row r="18" s="240" customFormat="true" ht="62" hidden="false" customHeight="true" outlineLevel="0" collapsed="false">
      <c r="A18" s="265" t="str">
        <f aca="false">IF(INFO!B8&gt;10,11,"")</f>
        <v/>
      </c>
      <c r="B18" s="263" t="str">
        <f aca="false">IF(A18="","",IF('M Q'!AE17="","",'M Q'!B17))</f>
        <v/>
      </c>
      <c r="C18" s="263"/>
      <c r="D18" s="267" t="str">
        <f aca="false">IF(A18="","",IF('M Q'!AE17="","",'M Q'!C17))</f>
        <v/>
      </c>
      <c r="E18" s="275" t="str">
        <f aca="false">IF(A18="","",IF('M Q'!AE17="","",'M Q'!AH17))</f>
        <v/>
      </c>
      <c r="F18" s="274" t="str">
        <f aca="false">IF(A18="","",IF('M Q'!AE17="","",'M Q'!AI17))</f>
        <v/>
      </c>
      <c r="G18" s="262"/>
      <c r="I18" s="262"/>
      <c r="J18" s="276"/>
      <c r="K18" s="276"/>
      <c r="L18" s="276"/>
      <c r="M18" s="276"/>
      <c r="N18" s="255"/>
      <c r="O18" s="255"/>
      <c r="P18" s="262"/>
      <c r="Q18" s="262"/>
    </row>
    <row r="19" s="240" customFormat="true" ht="62" hidden="false" customHeight="true" outlineLevel="0" collapsed="false">
      <c r="A19" s="273" t="str">
        <f aca="false">IF(INFO!B8&gt;11,12,"")</f>
        <v/>
      </c>
      <c r="B19" s="263" t="str">
        <f aca="false">IF(A19="","",IF('M Q'!AE18="","",'M Q'!B18))</f>
        <v/>
      </c>
      <c r="C19" s="263"/>
      <c r="D19" s="267" t="str">
        <f aca="false">IF(A19="","",IF('M Q'!AE18="","",'M Q'!C18))</f>
        <v/>
      </c>
      <c r="E19" s="275" t="str">
        <f aca="false">IF(A19="","",IF('M Q'!AE18="","",'M Q'!AH18))</f>
        <v/>
      </c>
      <c r="F19" s="274" t="str">
        <f aca="false">IF(A19="","",IF('M Q'!AE18="","",'M Q'!AI18))</f>
        <v/>
      </c>
      <c r="G19" s="262"/>
      <c r="I19" s="262"/>
      <c r="J19" s="276"/>
      <c r="K19" s="276"/>
      <c r="L19" s="276"/>
      <c r="M19" s="276"/>
      <c r="N19" s="255"/>
      <c r="O19" s="255"/>
      <c r="P19" s="262"/>
      <c r="Q19" s="262"/>
    </row>
    <row r="20" s="240" customFormat="true" ht="62" hidden="false" customHeight="true" outlineLevel="0" collapsed="false">
      <c r="A20" s="265" t="str">
        <f aca="false">IF(INFO!B8&gt;12,13,"")</f>
        <v/>
      </c>
      <c r="B20" s="263" t="str">
        <f aca="false">IF(A20="","",IF('M Q'!AE19="","",'M Q'!B19))</f>
        <v/>
      </c>
      <c r="C20" s="263"/>
      <c r="D20" s="267" t="str">
        <f aca="false">IF(A20="","",IF('M Q'!AE19="","",'M Q'!C19))</f>
        <v/>
      </c>
      <c r="E20" s="275" t="str">
        <f aca="false">IF(A20="","",IF('M Q'!AE19="","",'M Q'!AH19))</f>
        <v/>
      </c>
      <c r="F20" s="274" t="str">
        <f aca="false">IF(A20="","",IF('M Q'!AE19="","",'M Q'!AI19))</f>
        <v/>
      </c>
      <c r="G20" s="262"/>
      <c r="I20" s="262"/>
      <c r="J20" s="262"/>
      <c r="K20" s="255"/>
      <c r="L20" s="255"/>
      <c r="M20" s="255"/>
      <c r="N20" s="255"/>
      <c r="O20" s="255"/>
      <c r="P20" s="262"/>
      <c r="Q20" s="262"/>
    </row>
    <row r="21" s="240" customFormat="true" ht="62" hidden="false" customHeight="true" outlineLevel="0" collapsed="false">
      <c r="A21" s="273" t="str">
        <f aca="false">IF(INFO!B8&gt;13,14,"")</f>
        <v/>
      </c>
      <c r="B21" s="263" t="str">
        <f aca="false">IF(A21="","",IF('M Q'!AE20="","",'M Q'!B20))</f>
        <v/>
      </c>
      <c r="C21" s="263"/>
      <c r="D21" s="267" t="str">
        <f aca="false">IF(A21="","",IF('M Q'!AE20="","",'M Q'!C20))</f>
        <v/>
      </c>
      <c r="E21" s="275" t="str">
        <f aca="false">IF(A21="","",IF('M Q'!AE20="","",'M Q'!AH20))</f>
        <v/>
      </c>
      <c r="F21" s="274" t="str">
        <f aca="false">IF(A21="","",IF('M Q'!AE20="","",'M Q'!AI20))</f>
        <v/>
      </c>
      <c r="G21" s="262"/>
      <c r="I21" s="262"/>
      <c r="J21" s="262"/>
      <c r="K21" s="255"/>
      <c r="L21" s="255"/>
      <c r="M21" s="255"/>
      <c r="N21" s="255"/>
      <c r="O21" s="255"/>
      <c r="P21" s="262"/>
      <c r="Q21" s="262"/>
    </row>
    <row r="22" s="240" customFormat="true" ht="62" hidden="false" customHeight="true" outlineLevel="0" collapsed="false">
      <c r="A22" s="265" t="str">
        <f aca="false">IF(INFO!B8&gt;14,15,"")</f>
        <v/>
      </c>
      <c r="B22" s="263" t="str">
        <f aca="false">IF(A22="","",IF('M Q'!AE21="","",'M Q'!B21))</f>
        <v/>
      </c>
      <c r="C22" s="263"/>
      <c r="D22" s="267" t="str">
        <f aca="false">IF(A22="","",IF('M Q'!AE21="","",'M Q'!C21))</f>
        <v/>
      </c>
      <c r="E22" s="275" t="str">
        <f aca="false">IF(A22="","",IF('M Q'!AE21="","",'M Q'!AH21))</f>
        <v/>
      </c>
      <c r="F22" s="274" t="str">
        <f aca="false">IF(A22="","",IF('M Q'!AE21="","",'M Q'!AI21))</f>
        <v/>
      </c>
      <c r="G22" s="262"/>
      <c r="I22" s="262"/>
      <c r="J22" s="262"/>
      <c r="K22" s="255"/>
      <c r="L22" s="255"/>
      <c r="M22" s="255"/>
      <c r="N22" s="255"/>
      <c r="O22" s="255"/>
      <c r="P22" s="262"/>
      <c r="Q22" s="262"/>
    </row>
    <row r="23" s="240" customFormat="true" ht="62" hidden="false" customHeight="true" outlineLevel="0" collapsed="false">
      <c r="A23" s="273" t="str">
        <f aca="false">IF(INFO!B8&gt;15,16,"")</f>
        <v/>
      </c>
      <c r="B23" s="263" t="str">
        <f aca="false">IF(A23="","",IF('M Q'!AE22="","",'M Q'!B22))</f>
        <v/>
      </c>
      <c r="C23" s="263"/>
      <c r="D23" s="267" t="str">
        <f aca="false">IF(A23="","",IF('M Q'!AE22="","",'M Q'!C22))</f>
        <v/>
      </c>
      <c r="E23" s="275" t="str">
        <f aca="false">IF(A23="","",IF('M Q'!AE22="","",'M Q'!AH22))</f>
        <v/>
      </c>
      <c r="F23" s="274" t="str">
        <f aca="false">IF(A23="","",IF('M Q'!AE22="","",'M Q'!AI22))</f>
        <v/>
      </c>
      <c r="G23" s="262"/>
      <c r="I23" s="262"/>
      <c r="J23" s="262"/>
      <c r="K23" s="255"/>
      <c r="L23" s="255"/>
      <c r="M23" s="255"/>
      <c r="N23" s="255"/>
      <c r="O23" s="255"/>
      <c r="P23" s="262"/>
      <c r="Q23" s="262"/>
    </row>
    <row r="24" s="240" customFormat="true" ht="62" hidden="false" customHeight="true" outlineLevel="0" collapsed="false">
      <c r="A24" s="277" t="str">
        <f aca="false">IF(INFO!B8&gt;16,17,"")</f>
        <v/>
      </c>
      <c r="B24" s="263" t="str">
        <f aca="false">IF(A24="","",IF('M Q'!AE23="","",'M Q'!B23))</f>
        <v/>
      </c>
      <c r="C24" s="263"/>
      <c r="D24" s="267" t="str">
        <f aca="false">IF(A24="","",IF('M Q'!AE23="","",'M Q'!C23))</f>
        <v/>
      </c>
      <c r="E24" s="275" t="str">
        <f aca="false">IF(A24="","",IF('M Q'!AE23="","",'M Q'!AH23))</f>
        <v/>
      </c>
      <c r="F24" s="274" t="str">
        <f aca="false">IF(A24="","",IF('M Q'!AE23="","",'M Q'!AI23))</f>
        <v/>
      </c>
      <c r="G24" s="262"/>
      <c r="I24" s="262"/>
      <c r="J24" s="262"/>
      <c r="K24" s="255"/>
      <c r="L24" s="255"/>
      <c r="M24" s="255"/>
      <c r="N24" s="255"/>
      <c r="O24" s="255"/>
      <c r="P24" s="262"/>
      <c r="Q24" s="262"/>
    </row>
    <row r="25" s="240" customFormat="true" ht="62" hidden="false" customHeight="true" outlineLevel="0" collapsed="false">
      <c r="A25" s="273" t="str">
        <f aca="false">IF(INFO!B8&gt;17,18,"")</f>
        <v/>
      </c>
      <c r="B25" s="263" t="str">
        <f aca="false">IF(A25="","",IF('M Q'!AE24="","",'M Q'!B24))</f>
        <v/>
      </c>
      <c r="C25" s="263"/>
      <c r="D25" s="267" t="str">
        <f aca="false">IF(A25="","",IF('M Q'!AE24="","",'M Q'!C24))</f>
        <v/>
      </c>
      <c r="E25" s="275" t="str">
        <f aca="false">IF(A25="","",IF('M Q'!AE24="","",'M Q'!AH24))</f>
        <v/>
      </c>
      <c r="F25" s="274" t="str">
        <f aca="false">IF(A25="","",IF('M Q'!AE24="","",'M Q'!AI24))</f>
        <v/>
      </c>
      <c r="G25" s="262"/>
      <c r="I25" s="262"/>
      <c r="J25" s="262"/>
      <c r="K25" s="255"/>
      <c r="L25" s="255"/>
      <c r="M25" s="255"/>
      <c r="N25" s="255"/>
      <c r="O25" s="255"/>
      <c r="P25" s="262"/>
      <c r="Q25" s="262"/>
    </row>
    <row r="26" s="240" customFormat="true" ht="62" hidden="false" customHeight="true" outlineLevel="0" collapsed="false">
      <c r="A26" s="265" t="str">
        <f aca="false">IF(INFO!B8&gt;18,19,"")</f>
        <v/>
      </c>
      <c r="B26" s="263" t="str">
        <f aca="false">IF(A26="","",IF('M Q'!AE25="","",'M Q'!B25))</f>
        <v/>
      </c>
      <c r="C26" s="263"/>
      <c r="D26" s="267" t="str">
        <f aca="false">IF(A26="","",IF('M Q'!AE25="","",'M Q'!C25))</f>
        <v/>
      </c>
      <c r="E26" s="275" t="str">
        <f aca="false">IF(A26="","",IF('M Q'!AE25="","",'M Q'!AH25))</f>
        <v/>
      </c>
      <c r="F26" s="274" t="str">
        <f aca="false">IF(A26="","",IF('M Q'!AE25="","",'M Q'!AI25))</f>
        <v/>
      </c>
      <c r="G26" s="262"/>
      <c r="I26" s="262"/>
      <c r="J26" s="262"/>
      <c r="K26" s="255"/>
      <c r="L26" s="255"/>
      <c r="M26" s="255"/>
      <c r="N26" s="255"/>
      <c r="O26" s="255"/>
      <c r="P26" s="262"/>
      <c r="Q26" s="262"/>
    </row>
    <row r="27" s="240" customFormat="true" ht="62" hidden="false" customHeight="true" outlineLevel="0" collapsed="false">
      <c r="A27" s="273" t="str">
        <f aca="false">IF(INFO!B8&gt;19,20,"")</f>
        <v/>
      </c>
      <c r="B27" s="263" t="str">
        <f aca="false">IF(A27="","",IF('M Q'!AE26="","",'M Q'!B26))</f>
        <v/>
      </c>
      <c r="C27" s="263"/>
      <c r="D27" s="267" t="str">
        <f aca="false">IF(A27="","",IF('M Q'!AE26="","",'M Q'!C26))</f>
        <v/>
      </c>
      <c r="E27" s="275" t="str">
        <f aca="false">IF(A27="","",IF('M Q'!AE26="","",'M Q'!AH26))</f>
        <v/>
      </c>
      <c r="F27" s="274" t="str">
        <f aca="false">IF(A27="","",IF('M Q'!AE26="","",'M Q'!AI26))</f>
        <v/>
      </c>
      <c r="G27" s="262"/>
      <c r="I27" s="262"/>
      <c r="J27" s="262"/>
      <c r="K27" s="255"/>
      <c r="L27" s="255"/>
      <c r="M27" s="255"/>
      <c r="N27" s="255"/>
      <c r="O27" s="255"/>
      <c r="P27" s="262"/>
      <c r="Q27" s="262"/>
    </row>
    <row r="28" s="241" customFormat="true" ht="30" hidden="false" customHeight="true" outlineLevel="0" collapsed="false"/>
    <row r="29" s="241" customFormat="true" ht="30" hidden="false" customHeight="true" outlineLevel="0" collapsed="false"/>
    <row r="30" s="241" customFormat="true" ht="30" hidden="false" customHeight="true" outlineLevel="0" collapsed="false"/>
    <row r="31" s="241" customFormat="true" ht="30" hidden="false" customHeight="true" outlineLevel="0" collapsed="false"/>
    <row r="32" s="241" customFormat="true" ht="30" hidden="false" customHeight="true" outlineLevel="0" collapsed="false"/>
    <row r="33" s="241" customFormat="true" ht="30" hidden="false" customHeight="true" outlineLevel="0" collapsed="false"/>
    <row r="34" s="241" customFormat="true" ht="30" hidden="false" customHeight="true" outlineLevel="0" collapsed="false"/>
    <row r="35" s="241" customFormat="true" ht="30" hidden="false" customHeight="true" outlineLevel="0" collapsed="false"/>
    <row r="36" s="241" customFormat="true" ht="30" hidden="false" customHeight="true" outlineLevel="0" collapsed="false"/>
    <row r="37" s="241" customFormat="true" ht="30" hidden="false" customHeight="true" outlineLevel="0" collapsed="false"/>
    <row r="38" s="241" customFormat="true" ht="30" hidden="false" customHeight="true" outlineLevel="0" collapsed="false"/>
    <row r="39" s="241" customFormat="true" ht="30" hidden="false" customHeight="true" outlineLevel="0" collapsed="false"/>
    <row r="40" s="241" customFormat="true" ht="30" hidden="false" customHeight="true" outlineLevel="0" collapsed="false"/>
    <row r="41" s="241" customFormat="true" ht="30" hidden="false" customHeight="true" outlineLevel="0" collapsed="false"/>
    <row r="42" s="241" customFormat="true" ht="30" hidden="false" customHeight="true" outlineLevel="0" collapsed="false"/>
    <row r="43" s="241" customFormat="true" ht="30" hidden="false" customHeight="true" outlineLevel="0" collapsed="false"/>
    <row r="44" s="241" customFormat="true" ht="30" hidden="false" customHeight="true" outlineLevel="0" collapsed="false"/>
    <row r="45" s="241" customFormat="true" ht="30" hidden="false" customHeight="true" outlineLevel="0" collapsed="false"/>
    <row r="46" s="241" customFormat="true" ht="30" hidden="false" customHeight="true" outlineLevel="0" collapsed="false"/>
    <row r="47" s="241" customFormat="true" ht="30" hidden="false" customHeight="true" outlineLevel="0" collapsed="false"/>
    <row r="48" s="241" customFormat="true" ht="30" hidden="false" customHeight="true" outlineLevel="0" collapsed="false"/>
    <row r="49" s="241" customFormat="true" ht="30" hidden="false" customHeight="true" outlineLevel="0" collapsed="false"/>
    <row r="50" s="241" customFormat="true" ht="30" hidden="false" customHeight="true" outlineLevel="0" collapsed="false"/>
    <row r="51" s="241" customFormat="true" ht="30" hidden="false" customHeight="true" outlineLevel="0" collapsed="false"/>
    <row r="52" s="241" customFormat="true" ht="30" hidden="false" customHeight="true" outlineLevel="0" collapsed="false"/>
    <row r="53" s="241" customFormat="true" ht="30" hidden="false" customHeight="true" outlineLevel="0" collapsed="false"/>
    <row r="54" s="241" customFormat="true" ht="30" hidden="false" customHeight="true" outlineLevel="0" collapsed="false"/>
    <row r="55" s="241" customFormat="true" ht="30" hidden="false" customHeight="true" outlineLevel="0" collapsed="false"/>
    <row r="56" s="241" customFormat="true" ht="30" hidden="false" customHeight="true" outlineLevel="0" collapsed="false"/>
    <row r="57" s="241" customFormat="true" ht="30" hidden="false" customHeight="true" outlineLevel="0" collapsed="false"/>
    <row r="58" s="241" customFormat="true" ht="30" hidden="false" customHeight="true" outlineLevel="0" collapsed="false"/>
    <row r="59" s="241" customFormat="true" ht="30" hidden="false" customHeight="true" outlineLevel="0" collapsed="false"/>
    <row r="60" s="241" customFormat="true" ht="30" hidden="false" customHeight="true" outlineLevel="0" collapsed="false"/>
    <row r="61" s="241" customFormat="true" ht="30" hidden="false" customHeight="true" outlineLevel="0" collapsed="false"/>
    <row r="62" s="241" customFormat="true" ht="30" hidden="false" customHeight="true" outlineLevel="0" collapsed="false"/>
    <row r="63" s="241" customFormat="true" ht="30" hidden="false" customHeight="true" outlineLevel="0" collapsed="false"/>
    <row r="64" s="241" customFormat="true" ht="30" hidden="false" customHeight="true" outlineLevel="0" collapsed="false"/>
    <row r="65" s="241" customFormat="true" ht="30" hidden="false" customHeight="true" outlineLevel="0" collapsed="false"/>
    <row r="66" s="241" customFormat="true" ht="30" hidden="false" customHeight="true" outlineLevel="0" collapsed="false"/>
    <row r="67" s="241" customFormat="true" ht="30" hidden="false" customHeight="true" outlineLevel="0" collapsed="false"/>
    <row r="68" s="241" customFormat="true" ht="30" hidden="false" customHeight="true" outlineLevel="0" collapsed="false"/>
    <row r="69" s="241" customFormat="true" ht="30" hidden="false" customHeight="true" outlineLevel="0" collapsed="false"/>
    <row r="70" s="241" customFormat="true" ht="30" hidden="false" customHeight="true" outlineLevel="0" collapsed="false"/>
    <row r="71" s="241" customFormat="true" ht="30" hidden="false" customHeight="true" outlineLevel="0" collapsed="false"/>
    <row r="72" s="241" customFormat="true" ht="30" hidden="false" customHeight="true" outlineLevel="0" collapsed="false"/>
    <row r="73" s="241" customFormat="true" ht="30" hidden="false" customHeight="true" outlineLevel="0" collapsed="false"/>
    <row r="74" s="241" customFormat="true" ht="30" hidden="false" customHeight="true" outlineLevel="0" collapsed="false"/>
    <row r="75" s="241" customFormat="true" ht="30" hidden="false" customHeight="true" outlineLevel="0" collapsed="false"/>
    <row r="76" s="241" customFormat="true" ht="30" hidden="false" customHeight="true" outlineLevel="0" collapsed="false"/>
    <row r="77" s="241" customFormat="true" ht="30" hidden="false" customHeight="true" outlineLevel="0" collapsed="false"/>
    <row r="78" s="241" customFormat="true" ht="30" hidden="false" customHeight="true" outlineLevel="0" collapsed="false"/>
    <row r="79" s="241" customFormat="true" ht="30" hidden="false" customHeight="true" outlineLevel="0" collapsed="false"/>
    <row r="80" s="241" customFormat="true" ht="30" hidden="false" customHeight="true" outlineLevel="0" collapsed="false"/>
    <row r="81" s="241" customFormat="true" ht="30" hidden="false" customHeight="true" outlineLevel="0" collapsed="false"/>
    <row r="82" s="241" customFormat="true" ht="30" hidden="false" customHeight="true" outlineLevel="0" collapsed="false"/>
    <row r="83" s="241" customFormat="true" ht="30" hidden="false" customHeight="true" outlineLevel="0" collapsed="false"/>
    <row r="84" s="241" customFormat="true" ht="30" hidden="false" customHeight="true" outlineLevel="0" collapsed="false"/>
    <row r="85" s="241" customFormat="true" ht="30" hidden="false" customHeight="true" outlineLevel="0" collapsed="false"/>
    <row r="86" s="241" customFormat="true" ht="30" hidden="false" customHeight="true" outlineLevel="0" collapsed="false"/>
    <row r="87" s="241" customFormat="true" ht="30" hidden="false" customHeight="true" outlineLevel="0" collapsed="false"/>
    <row r="88" s="241" customFormat="true" ht="30" hidden="false" customHeight="true" outlineLevel="0" collapsed="false"/>
    <row r="89" s="241" customFormat="true" ht="30" hidden="false" customHeight="true" outlineLevel="0" collapsed="false"/>
    <row r="90" s="241" customFormat="true" ht="23" hidden="false" customHeight="false" outlineLevel="0" collapsed="false"/>
    <row r="91" s="241" customFormat="true" ht="23" hidden="false" customHeight="false" outlineLevel="0" collapsed="false"/>
    <row r="92" s="241" customFormat="true" ht="23" hidden="false" customHeight="false" outlineLevel="0" collapsed="false"/>
    <row r="93" s="241" customFormat="true" ht="23" hidden="false" customHeight="false" outlineLevel="0" collapsed="false"/>
    <row r="94" s="241" customFormat="true" ht="23" hidden="false" customHeight="false" outlineLevel="0" collapsed="false"/>
    <row r="95" s="241" customFormat="true" ht="23" hidden="false" customHeight="false" outlineLevel="0" collapsed="false"/>
    <row r="96" s="241" customFormat="true" ht="23" hidden="false" customHeight="false" outlineLevel="0" collapsed="false"/>
    <row r="97" s="241" customFormat="true" ht="23" hidden="false" customHeight="false" outlineLevel="0" collapsed="false"/>
    <row r="98" s="241" customFormat="true" ht="23" hidden="false" customHeight="false" outlineLevel="0" collapsed="false"/>
    <row r="99" s="241" customFormat="true" ht="23" hidden="false" customHeight="false" outlineLevel="0" collapsed="false"/>
    <row r="100" s="241" customFormat="true" ht="23" hidden="false" customHeight="false" outlineLevel="0" collapsed="false"/>
    <row r="101" s="241" customFormat="true" ht="23" hidden="false" customHeight="false" outlineLevel="0" collapsed="false"/>
    <row r="102" s="241" customFormat="true" ht="23" hidden="false" customHeight="false" outlineLevel="0" collapsed="false"/>
    <row r="103" s="241" customFormat="true" ht="23" hidden="false" customHeight="false" outlineLevel="0" collapsed="false"/>
    <row r="104" s="241" customFormat="true" ht="23" hidden="false" customHeight="false" outlineLevel="0" collapsed="false"/>
    <row r="105" s="241" customFormat="true" ht="23" hidden="false" customHeight="false" outlineLevel="0" collapsed="false"/>
    <row r="106" s="241" customFormat="true" ht="23" hidden="false" customHeight="false" outlineLevel="0" collapsed="false"/>
    <row r="107" s="241" customFormat="true" ht="23" hidden="false" customHeight="false" outlineLevel="0" collapsed="false"/>
    <row r="108" s="241" customFormat="true" ht="23" hidden="false" customHeight="false" outlineLevel="0" collapsed="false"/>
    <row r="109" s="241" customFormat="true" ht="23" hidden="false" customHeight="false" outlineLevel="0" collapsed="false"/>
    <row r="110" s="241" customFormat="true" ht="23" hidden="false" customHeight="false" outlineLevel="0" collapsed="false"/>
    <row r="111" s="241" customFormat="true" ht="23" hidden="false" customHeight="false" outlineLevel="0" collapsed="false"/>
    <row r="112" s="241" customFormat="true" ht="23" hidden="false" customHeight="false" outlineLevel="0" collapsed="false"/>
    <row r="113" s="241" customFormat="true" ht="23" hidden="false" customHeight="false" outlineLevel="0" collapsed="false"/>
    <row r="114" s="241" customFormat="true" ht="23" hidden="false" customHeight="false" outlineLevel="0" collapsed="false"/>
    <row r="115" s="241" customFormat="true" ht="23" hidden="false" customHeight="false" outlineLevel="0" collapsed="false"/>
    <row r="116" s="241" customFormat="true" ht="23" hidden="false" customHeight="false" outlineLevel="0" collapsed="false"/>
    <row r="117" s="241" customFormat="true" ht="23" hidden="false" customHeight="false" outlineLevel="0" collapsed="false"/>
    <row r="118" s="241" customFormat="true" ht="23" hidden="false" customHeight="false" outlineLevel="0" collapsed="false"/>
  </sheetData>
  <mergeCells count="7">
    <mergeCell ref="A1:H3"/>
    <mergeCell ref="A4:H4"/>
    <mergeCell ref="A5:H5"/>
    <mergeCell ref="G8:G9"/>
    <mergeCell ref="G10:G11"/>
    <mergeCell ref="J11:M11"/>
    <mergeCell ref="G12:G15"/>
  </mergeCells>
  <conditionalFormatting sqref="A8:F27">
    <cfRule type="expression" priority="2" aboveAverage="0" equalAverage="0" bottom="0" percent="0" rank="0" text="" dxfId="27">
      <formula>LEN(TRIM(A8))=0</formula>
    </cfRule>
  </conditionalFormatting>
  <conditionalFormatting sqref="B12:M15">
    <cfRule type="containsErrors" priority="3" aboveAverage="0" equalAverage="0" bottom="0" percent="0" rank="0" text="" dxfId="28">
      <formula>ISERROR(B12)</formula>
    </cfRule>
  </conditionalFormatting>
  <conditionalFormatting sqref="B16:F27">
    <cfRule type="containsErrors" priority="4" aboveAverage="0" equalAverage="0" bottom="0" percent="0" rank="0" text="" dxfId="29">
      <formula>ISERROR(B16)</formula>
    </cfRule>
  </conditionalFormatting>
  <conditionalFormatting sqref="B8:F27">
    <cfRule type="cellIs" priority="5" operator="equal" aboveAverage="0" equalAverage="0" bottom="0" percent="0" rank="0" text="" dxfId="30">
      <formula>0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2019-12-15T12:30:57Z</cp:lastPrinted>
  <dcterms:modified xsi:type="dcterms:W3CDTF">2019-12-15T18:06:56Z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